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drawings/drawing3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60" windowHeight="3000" tabRatio="863" activeTab="0"/>
  </bookViews>
  <sheets>
    <sheet name="งบแสดงฐานะ" sheetId="1" r:id="rId1"/>
    <sheet name="กระดาษทำการเงินสะสม" sheetId="2" state="hidden" r:id="rId2"/>
    <sheet name="ประกอบเงินสะสม" sheetId="3" state="hidden" r:id="rId3"/>
    <sheet name="ทรัพย์สินเกิดจากเงินกู้" sheetId="4" state="hidden" r:id="rId4"/>
    <sheet name=" งบ ทส" sheetId="5" r:id="rId5"/>
    <sheet name="กระดาษงบทรัพย์สิน" sheetId="6" r:id="rId6"/>
    <sheet name="กระดาษงบหนี้สิน" sheetId="7" state="hidden" r:id="rId7"/>
    <sheet name="งบเจ้าหนี้" sheetId="8" state="hidden" r:id="rId8"/>
    <sheet name="รายละเอียดรายรับ" sheetId="9" state="hidden" r:id="rId9"/>
    <sheet name="ค้างจ่าย" sheetId="10" r:id="rId10"/>
    <sheet name="งบแสดงผลจ่ายจากรายรับ" sheetId="11" r:id="rId11"/>
    <sheet name="เงินอุดหนุนเฉพาะกิจ" sheetId="12" r:id="rId12"/>
    <sheet name="โอน" sheetId="13" state="hidden" r:id="rId13"/>
    <sheet name="ประมาณการและโอน" sheetId="14" state="hidden" r:id="rId14"/>
    <sheet name="อุดหนุนเฉพาะกิจค้างจ่าย" sheetId="15" state="hidden" r:id="rId15"/>
    <sheet name="สำรองเงินรายรับ" sheetId="16" state="hidden" r:id="rId16"/>
    <sheet name="จ่ายจากเงินสะสม" sheetId="17" state="hidden" r:id="rId17"/>
    <sheet name="งบแสดงผลฯ จ่ายจากเงินรายรับสะสม" sheetId="18" r:id="rId18"/>
    <sheet name="รายงานจ่ายจากเงินสะสม (2)" sheetId="19" r:id="rId19"/>
    <sheet name="อนุมัติจ่ายเงินสะสม" sheetId="20" r:id="rId20"/>
    <sheet name="เงินทุนสำรองเงินสะสม" sheetId="21" state="hidden" r:id="rId21"/>
    <sheet name="เงินฝากธนาคาร" sheetId="22" state="hidden" r:id="rId22"/>
    <sheet name="พิสูจน์เงินสด" sheetId="23" state="hidden" r:id="rId23"/>
    <sheet name="เศรษฐกิจชุมชน" sheetId="24" state="hidden" r:id="rId24"/>
    <sheet name="เงินทุนหมุนเวียน" sheetId="25" state="hidden" r:id="rId25"/>
    <sheet name="เงินขาดบัญชี" sheetId="26" state="hidden" r:id="rId26"/>
    <sheet name="ทส10 30กย" sheetId="27" state="hidden" r:id="rId27"/>
    <sheet name="ทส10 16 พย" sheetId="28" state="hidden" r:id="rId28"/>
    <sheet name="ลูกหนี้เทศบาลตำบลร่มเมือง" sheetId="29" r:id="rId29"/>
    <sheet name="Sheet1" sheetId="30" r:id="rId30"/>
  </sheets>
  <externalReferences>
    <externalReference r:id="rId33"/>
    <externalReference r:id="rId34"/>
  </externalReferences>
  <definedNames>
    <definedName name="_xlnm.Print_Area" localSheetId="19">'อนุมัติจ่ายเงินสะสม'!$A$1:$I$39</definedName>
    <definedName name="_xlnm.Print_Titles" localSheetId="12">'โอน'!$4:$4</definedName>
    <definedName name="_xlnm.Print_Titles" localSheetId="16">'จ่ายจากเงินสะสม'!$4:$5</definedName>
    <definedName name="_xlnm.Print_Titles" localSheetId="2">'ประกอบเงินสะสม'!$4:$5</definedName>
    <definedName name="_xlnm.Print_Titles" localSheetId="13">'ประมาณการและโอน'!$4:$4</definedName>
    <definedName name="_xlnm.Print_Titles" localSheetId="8">'รายละเอียดรายรับ'!$4:$4</definedName>
    <definedName name="_xlnm.Print_Titles" localSheetId="19">'อนุมัติจ่ายเงินสะสม'!$5:$6</definedName>
  </definedNames>
  <calcPr fullCalcOnLoad="1"/>
</workbook>
</file>

<file path=xl/sharedStrings.xml><?xml version="1.0" encoding="utf-8"?>
<sst xmlns="http://schemas.openxmlformats.org/spreadsheetml/2006/main" count="1384" uniqueCount="705">
  <si>
    <t>เงินทุนสำรองเงินสะสม</t>
  </si>
  <si>
    <t>ลูกหนี้</t>
  </si>
  <si>
    <t>ยกมา</t>
  </si>
  <si>
    <t xml:space="preserve"> </t>
  </si>
  <si>
    <t>รวม</t>
  </si>
  <si>
    <t>รายการ</t>
  </si>
  <si>
    <t>เงินสด</t>
  </si>
  <si>
    <t>รายจ่ายค้างจ่าย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</si>
  <si>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</si>
  <si>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</si>
  <si>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</si>
  <si>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</si>
  <si>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</si>
  <si>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</si>
  <si>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ค่าครุภัณฑ์</t>
  </si>
  <si>
    <t>ค่าที่ดินและสิ่งก่อสร้าง</t>
  </si>
  <si>
    <t>เงินอุดหนุน</t>
  </si>
  <si>
    <t>รายรับ</t>
  </si>
  <si>
    <t>ภาษีโรงเรือนและที่ดิน</t>
  </si>
  <si>
    <t>ภาษีบำรุงท้องที่</t>
  </si>
  <si>
    <t>ภาษีป้าย</t>
  </si>
  <si>
    <t>อากรฆ่าสัตว์</t>
  </si>
  <si>
    <t>ภาษีมูลค่าเพิ่ม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</si>
  <si>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</si>
  <si>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</si>
  <si>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</si>
  <si>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</si>
  <si>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ค่าจ้างประจำ</t>
  </si>
  <si>
    <t>จำนวนเงิน</t>
  </si>
  <si>
    <t>วันที่</t>
  </si>
  <si>
    <t>งบแสดงฐานะการเงิน</t>
  </si>
  <si>
    <t>สำรองเงินรายรับ</t>
  </si>
  <si>
    <t>ทรัพย์สิน</t>
  </si>
  <si>
    <t>หนี้สินและเงินสะสม</t>
  </si>
  <si>
    <t>งบทรัพย์สิน</t>
  </si>
  <si>
    <t>หมายเหตุ</t>
  </si>
  <si>
    <t>ลำดับที่</t>
  </si>
  <si>
    <t>เงินสะสม</t>
  </si>
  <si>
    <t>ประเภททรัพย์สิน</t>
  </si>
  <si>
    <t>รับเพิ่ม</t>
  </si>
  <si>
    <t>จำหน่าย</t>
  </si>
  <si>
    <t>เงินขาดบัญชี</t>
  </si>
  <si>
    <t>ผู้จัดทำ</t>
  </si>
  <si>
    <t>ค่าสาธารณูปโภค</t>
  </si>
  <si>
    <t>ทุนทรัพย์สิน</t>
  </si>
  <si>
    <t>(หมายเหตุ 1)</t>
  </si>
  <si>
    <t>เงินรับฝากต่าง ๆ</t>
  </si>
  <si>
    <t>(หมายเหตุ 3)</t>
  </si>
  <si>
    <t>(หมายเหตุ 4)</t>
  </si>
  <si>
    <t>(หมายเหตุ 5)</t>
  </si>
  <si>
    <t>เงินฝากธนาคาร</t>
  </si>
  <si>
    <t>ประเภทออมทรัพย์</t>
  </si>
  <si>
    <t>กรุงไทย</t>
  </si>
  <si>
    <t>งบเงินสะสม</t>
  </si>
  <si>
    <t>รับจริงสูงกว่าจ่ายจริง</t>
  </si>
  <si>
    <t>หัก</t>
  </si>
  <si>
    <t>ราคาทรัพย์สิน</t>
  </si>
  <si>
    <t>แหล่งที่มาของทรัพย์สิน</t>
  </si>
  <si>
    <t>ชื่อ</t>
  </si>
  <si>
    <t>………………………….</t>
  </si>
  <si>
    <t>หมวด/ประเภท</t>
  </si>
  <si>
    <t>เบิกจ่ายแล้ว</t>
  </si>
  <si>
    <t>ก่อหนี้ผูกพัน</t>
  </si>
  <si>
    <t>กระดาษทำการงบทรัพย์สิน</t>
  </si>
  <si>
    <t>ก.</t>
  </si>
  <si>
    <t>อสังหาริมทรัพย์</t>
  </si>
  <si>
    <t>ข.</t>
  </si>
  <si>
    <t>สังหาริมทรัพย์</t>
  </si>
  <si>
    <t>ทรัพย์สินเกิดจาก</t>
  </si>
  <si>
    <t>คงเหลือ</t>
  </si>
  <si>
    <t>ไม่ก่อหนี้ผูกพัน</t>
  </si>
  <si>
    <t>รายงานรายจ่ายที่ได้รับอนุมัติให้จ่ายจากเงินสะสม</t>
  </si>
  <si>
    <t>จำนวนเงินที่ได้รับอนุมัติ</t>
  </si>
  <si>
    <t>คงเหลือเบิกจ่าย</t>
  </si>
  <si>
    <t>ยังไม่ได้ก่อหนี้</t>
  </si>
  <si>
    <t>ได้รับอนุมัติ</t>
  </si>
  <si>
    <t>จ่ายขาด</t>
  </si>
  <si>
    <t>ยืมเงินสะสม</t>
  </si>
  <si>
    <t>ผู้สอบทาน</t>
  </si>
  <si>
    <t>……………………….</t>
  </si>
  <si>
    <t xml:space="preserve">ทรัพย์สินตามงบทรัพย์สิน                                 </t>
  </si>
  <si>
    <t xml:space="preserve"> (หมายเหตุ 1)</t>
  </si>
  <si>
    <t>(หมายเหตุ 2)</t>
  </si>
  <si>
    <t>งบแสดงผลการดำเนินงานจ่ายจากเงินรายรับ</t>
  </si>
  <si>
    <t>บริหารงาน</t>
  </si>
  <si>
    <t>การรักษา</t>
  </si>
  <si>
    <t>สร้างความ</t>
  </si>
  <si>
    <t>การศาสนา</t>
  </si>
  <si>
    <t>ทั่วไป</t>
  </si>
  <si>
    <t>สาธารณสุข</t>
  </si>
  <si>
    <t>เข้มแข็ง</t>
  </si>
  <si>
    <t>นันทนาการ</t>
  </si>
  <si>
    <t>รายได้จากทรัพย์สิน</t>
  </si>
  <si>
    <t>รวมรายรับ</t>
  </si>
  <si>
    <t>รายจ่าย</t>
  </si>
  <si>
    <t>ประกอบด้วย</t>
  </si>
  <si>
    <t>…………………….........</t>
  </si>
  <si>
    <t>อากรรังนกอีแอ่น</t>
  </si>
  <si>
    <t>ประกอบงบแสดงฐานะการเงิน</t>
  </si>
  <si>
    <t>เพื่อการเกษตรและสหกรณ์การเกษตร</t>
  </si>
  <si>
    <t>รายจ่ายอื่น</t>
  </si>
  <si>
    <t>รายจ่ายรอจ่าย</t>
  </si>
  <si>
    <t>(หมายเหตุ 6)</t>
  </si>
  <si>
    <t>ค่าใบอนุญาตอื่น ๆ</t>
  </si>
  <si>
    <t>รายละเอียดรายจ่าย - จ่ายจากเงินสะสม</t>
  </si>
  <si>
    <t>ฏีกาที่</t>
  </si>
  <si>
    <t>ว.ด.ป.</t>
  </si>
  <si>
    <t>บริหารทั่วไป</t>
  </si>
  <si>
    <t>รักษาความสงบ</t>
  </si>
  <si>
    <t>การศึกษา</t>
  </si>
  <si>
    <t>เคหะและชุมชน</t>
  </si>
  <si>
    <t>การพาณิชย์</t>
  </si>
  <si>
    <t>อุตสาหกรรมและการโยธา</t>
  </si>
  <si>
    <t>สร้างความเข้มแข็ง</t>
  </si>
  <si>
    <t>สังคมสงเคราะห์</t>
  </si>
  <si>
    <t>จ่ายขาดเงินสะสม</t>
  </si>
  <si>
    <t>รวมงบกลาง</t>
  </si>
  <si>
    <t>เงินเพิ่มค่าครองชีพชั่วคราว</t>
  </si>
  <si>
    <t>รวมเงินเดือน</t>
  </si>
  <si>
    <t>รวมค่าจ้างประจำ</t>
  </si>
  <si>
    <t>รวมค่าจ้างชั่วคราว</t>
  </si>
  <si>
    <t>รวมค่าตอบแทน</t>
  </si>
  <si>
    <t>รวมค่าใช้สอย</t>
  </si>
  <si>
    <t>รวมค่าค่าวัสดุ</t>
  </si>
  <si>
    <t>รวมค่าสาธารณูปโภค</t>
  </si>
  <si>
    <t>รวมค่าครุภัณฑ์</t>
  </si>
  <si>
    <t>รวมค่าที่ดินและสิ่งก่อสร้าง</t>
  </si>
  <si>
    <t>รวมเงินอุดหนุน</t>
  </si>
  <si>
    <t>รวมรายจ่ายอื่น</t>
  </si>
  <si>
    <t>รวมทั้งสิ้น</t>
  </si>
  <si>
    <t>336/2550</t>
  </si>
  <si>
    <t>582/2550</t>
  </si>
  <si>
    <t>ทรัพย์สินคงเหลือ</t>
  </si>
  <si>
    <t>งวดนี้</t>
  </si>
  <si>
    <t>หุ้นในโรงพิมพ์ส่วนท้องถิ่น</t>
  </si>
  <si>
    <t>ค่าขายแบบแปลน</t>
  </si>
  <si>
    <t>บวก</t>
  </si>
  <si>
    <t>รายรับจริงสูงกว่ารายจ่ายจริงหลังหักเงินทุนสำรองเงินสะสม</t>
  </si>
  <si>
    <t>รายจ่ายค้างจ่าย (เหลือจ่าย)</t>
  </si>
  <si>
    <t xml:space="preserve">ค่าที่ดินและสิ่งก่อสร้าง </t>
  </si>
  <si>
    <t>สังคม</t>
  </si>
  <si>
    <t>อุตสาหกรรม</t>
  </si>
  <si>
    <t>สงเคราะห์</t>
  </si>
  <si>
    <t>การเกษตร</t>
  </si>
  <si>
    <t>และ</t>
  </si>
  <si>
    <t>เงินฝากเงินทุนส่งเสริมกิจการเทศบาล</t>
  </si>
  <si>
    <t>รายงานรายจ่ายในการดำเนินงานที่จ่ายจากเงินสะสม</t>
  </si>
  <si>
    <t xml:space="preserve">หมายเหตุ      </t>
  </si>
  <si>
    <t>1. ยืมเงินสะสมไปจ่าย</t>
  </si>
  <si>
    <t>บาท</t>
  </si>
  <si>
    <t xml:space="preserve">                                       </t>
  </si>
  <si>
    <t>2. จ่ายขาดเงินสะสม</t>
  </si>
  <si>
    <t>ทรัพย์สินเกิดจากเงินกู้</t>
  </si>
  <si>
    <t>เงินประกันสัญญา</t>
  </si>
  <si>
    <t>ดอกเบี้ยเงินฝากธนาคาร</t>
  </si>
  <si>
    <t xml:space="preserve">เงินสด  เงินฝากธนาคารและเงินฝากคลัง     </t>
  </si>
  <si>
    <t>เจ้าหนี้</t>
  </si>
  <si>
    <r>
      <t xml:space="preserve">หัก </t>
    </r>
    <r>
      <rPr>
        <sz val="12"/>
        <rFont val="DilleniaUPC"/>
        <family val="1"/>
      </rPr>
      <t>25% ของรายรับจริงสูงกว่ารายจ่ายจริง (เงินทุนสำรองเงินสะสม)</t>
    </r>
  </si>
  <si>
    <t>เงินสด เงินฝากธนาคาร และเงินฝากคลัง</t>
  </si>
  <si>
    <t>ชื่อเจ้าหนี้/โครงการที่ขอกู้/จำนวนที่ขอกู้</t>
  </si>
  <si>
    <t>สัญญาเลขที่ วันที่</t>
  </si>
  <si>
    <t xml:space="preserve"> ต้นเงินกู้ ยกมา</t>
  </si>
  <si>
    <t>ชำระเงินต้น</t>
  </si>
  <si>
    <t>ชำระดอกเบี้ย</t>
  </si>
  <si>
    <t>คงเหลือต้นเงินกู้</t>
  </si>
  <si>
    <t>ปีสิ้นสุดสัญญา</t>
  </si>
  <si>
    <t xml:space="preserve">                              รวม</t>
  </si>
  <si>
    <t>สัญญาเลขที่ /วันที่</t>
  </si>
  <si>
    <t>เงินต้นค้างชำระ</t>
  </si>
  <si>
    <t>1842/36/2546</t>
  </si>
  <si>
    <t>ปี 2557</t>
  </si>
  <si>
    <t>จำนวนเงิน 4,972,323.- บาท</t>
  </si>
  <si>
    <t>ลว. 25 มี.ค. 2546</t>
  </si>
  <si>
    <t>งวดปีงบประมาณ 2550</t>
  </si>
  <si>
    <t>47/2550</t>
  </si>
  <si>
    <t>49/2550</t>
  </si>
  <si>
    <t>147/2550</t>
  </si>
  <si>
    <t>ค่าเช่าบ้าน</t>
  </si>
  <si>
    <t>264/2550</t>
  </si>
  <si>
    <t>เงินผลประโยชน์ตอบแทนอื่นเป็นกรณีพิเศษ</t>
  </si>
  <si>
    <t>265/2550</t>
  </si>
  <si>
    <t>266/2550</t>
  </si>
  <si>
    <t>270/2550</t>
  </si>
  <si>
    <t>271/2550</t>
  </si>
  <si>
    <t>275/2550</t>
  </si>
  <si>
    <t>227/2550</t>
  </si>
  <si>
    <t>469/2550</t>
  </si>
  <si>
    <t>493/2550</t>
  </si>
  <si>
    <t>572/2550</t>
  </si>
  <si>
    <t>675/2550</t>
  </si>
  <si>
    <t>699/2550</t>
  </si>
  <si>
    <t>771/2550</t>
  </si>
  <si>
    <t>810/2550</t>
  </si>
  <si>
    <t>907/2550</t>
  </si>
  <si>
    <t>958/2550</t>
  </si>
  <si>
    <t>1025/2550</t>
  </si>
  <si>
    <t>1087/2550</t>
  </si>
  <si>
    <t>1166/2550</t>
  </si>
  <si>
    <t>1126/2550</t>
  </si>
  <si>
    <t>1273/2550</t>
  </si>
  <si>
    <t>1286/2550</t>
  </si>
  <si>
    <t>102/2550</t>
  </si>
  <si>
    <t>ก่อสร้างอาคารอเนกประสงค์ (งวดที่ 2)</t>
  </si>
  <si>
    <t>240/2550</t>
  </si>
  <si>
    <t>ก่อสร้างอาคารอเนกประสงค์ (งวดที่ 3)</t>
  </si>
  <si>
    <t>539/2550</t>
  </si>
  <si>
    <t>ปรับปรุงและต่อเติมอาคารตลาดสด (งวดที่ 1)</t>
  </si>
  <si>
    <t>637/2550</t>
  </si>
  <si>
    <t>ปรับปรุงและต่อเติมอาคารตลาดสด (งวดที่ 2)</t>
  </si>
  <si>
    <t>เทศบาลตำบลเขาชัยสน</t>
  </si>
  <si>
    <t xml:space="preserve"> ปี 2557</t>
  </si>
  <si>
    <t>รายละเอียดประมาณการรายรับ เพิ่มเติม โอน และรายรับจริง</t>
  </si>
  <si>
    <t>หมวดรายได้</t>
  </si>
  <si>
    <t>ประมาณการรายรับ</t>
  </si>
  <si>
    <t xml:space="preserve">      เพิ่มเติม      ฉบับที่ 1</t>
  </si>
  <si>
    <t>รับจริงสูง (ต่ำ)กว่าประมาณการ</t>
  </si>
  <si>
    <t>คิดเป็นร้อยละ</t>
  </si>
  <si>
    <t>รายได้จัดเก็บเอง</t>
  </si>
  <si>
    <t xml:space="preserve"> หมวดภาษีอากร</t>
  </si>
  <si>
    <t>หมวดค่าธรรมเนียมค่าปรับและใบอนุญาต</t>
  </si>
  <si>
    <t>ค่าธรรมเนียมเกี่ยวกับใบอนุญาตการพนัน</t>
  </si>
  <si>
    <t>ค่าปรับผู้กระทำผิดกฏหมายจราจรทางบก</t>
  </si>
  <si>
    <t xml:space="preserve"> หมวดรายได้จากทรัพย์สิน</t>
  </si>
  <si>
    <t xml:space="preserve"> หมวดรายได้จากสาธารณูปโภคและการพาณิชย์</t>
  </si>
  <si>
    <t xml:space="preserve"> หมวดรายได้เบ็ดเตล็ด</t>
  </si>
  <si>
    <t>รายได้เบ็ดเตล็ดอื่น ๆ</t>
  </si>
  <si>
    <t xml:space="preserve"> รายได้จากทุน</t>
  </si>
  <si>
    <t>ค่าขายทอดตลาดทรัพย์สิน</t>
  </si>
  <si>
    <t>รายได้ที่รัฐบาลจัดสรรให้องค์กรปกครองส่วนท้องถิ่น</t>
  </si>
  <si>
    <t xml:space="preserve">  หมวดภาษีจัดสรร</t>
  </si>
  <si>
    <t>ค่าภาคหลวงปิโตรเลียม</t>
  </si>
  <si>
    <t>ค่าธรรมเนียมจดทะเบียนสิทธิ 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</si>
  <si>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</si>
  <si>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</si>
  <si>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รายได้ที่รัฐบาลอุดหนุนให้โดยระบุวัตถุประสงค์</t>
  </si>
  <si>
    <t>เงินสมทบประกันสังคม</t>
  </si>
  <si>
    <t>พิสูจน์เงินสด</t>
  </si>
  <si>
    <t>รับ</t>
  </si>
  <si>
    <t>จ่าย</t>
  </si>
  <si>
    <t>...............................................................</t>
  </si>
  <si>
    <t>รายละเอียดเงินฝากธนาคาร</t>
  </si>
  <si>
    <t>ยอดยกมา</t>
  </si>
  <si>
    <t>ณ 30 ก.ย. 50</t>
  </si>
  <si>
    <t>หมวด</t>
  </si>
  <si>
    <t>ปิดเข้าสะสม</t>
  </si>
  <si>
    <t>ตั้งเพิ่ม ปี 51</t>
  </si>
  <si>
    <t>เบิกจ่ายในปี 51</t>
  </si>
  <si>
    <t xml:space="preserve">คงเหลือ </t>
  </si>
  <si>
    <t>ณ 30 ก.ย. 51</t>
  </si>
  <si>
    <t>รายละเอียดสำรองเงินรายรับ</t>
  </si>
  <si>
    <t>ณ วันที่ 30 กันยายน  2551</t>
  </si>
  <si>
    <t>ณ  วันที่  30  กันยายน  2551</t>
  </si>
  <si>
    <t xml:space="preserve"> (หมายเหตุ 1.1)</t>
  </si>
  <si>
    <t>ณ วันที่ 30 กันยายน 2551</t>
  </si>
  <si>
    <t>ก. อสังหาริมทรัพย์</t>
  </si>
  <si>
    <t>เงินกู้กองทุนส่งเสริมกิจการเทศบาล</t>
  </si>
  <si>
    <t>1. อาคารสำนักงาน</t>
  </si>
  <si>
    <t>2. ที่ดินเพื่อก่อสร้างอาคารเรียน</t>
  </si>
  <si>
    <t xml:space="preserve">   โรงเรียนเทศบาลตำบลเขาชัยสน</t>
  </si>
  <si>
    <t>จำนวนที่ขอกู้ 4,972,323.- บาท อัตราดอกเบี้ยร้อยละ 3 ต่อปี</t>
  </si>
  <si>
    <t>2. กู้เพื่อจัดซื้อที่ดินสำหรับก่อสร้างอาคารเรียนโรงเรียน</t>
  </si>
  <si>
    <t xml:space="preserve">เจ้าหนี้เงินกู้สำนักงานเงินทุนส่งเสริมกิจการเทศบาล </t>
  </si>
  <si>
    <t>1. กู้เพื่อสมทบก่อสร้างอาคารสำนักงานเทศบาล</t>
  </si>
  <si>
    <t>กระดาษทำการเจ้าหนี้</t>
  </si>
  <si>
    <t xml:space="preserve">  ณ วันที่ 30 กันยายน 2551</t>
  </si>
  <si>
    <t>1. เพื่อสมทบก่อสร้างอาคารสำนักงานเทศบาล</t>
  </si>
  <si>
    <t>2. เพื่อจัดซื้อที่ดินสำหรับก่อสร้างอาคารเรียน</t>
  </si>
  <si>
    <t>โรงเรียนเทศบาลตำบลเขาชัยสน จำนวนเงิน 3,708,000.- บาท</t>
  </si>
  <si>
    <t>521/129/2551</t>
  </si>
  <si>
    <t>ลว. 31 ม.ค. 2551</t>
  </si>
  <si>
    <t>ปี 2561</t>
  </si>
  <si>
    <t>เทศบาลตำบลเขาชัยสน จำนวนเงินที่ขอกู้ 3,708,000.- บาท</t>
  </si>
  <si>
    <t>อัตราดอกเบี้ยร้อยละ 3 ต่อปี</t>
  </si>
  <si>
    <t>หมายเหตุ 3</t>
  </si>
  <si>
    <t>2. หุ้นในโรงพิมพ์ส่วนท้องถิ่น</t>
  </si>
  <si>
    <t>3. ผลต่างระหว่างทรัพย์สินเกิดจากเงินกู้กับเจ้าหนี้</t>
  </si>
  <si>
    <t>ชื่อบัญชี/เลขที่บัญชี</t>
  </si>
  <si>
    <t>ประเภท</t>
  </si>
  <si>
    <t>ครุภัณฑ์ยานพาหนะและขนส่ง</t>
  </si>
  <si>
    <t>รายการโอนเพิ่ม - ลดงบประมาณ</t>
  </si>
  <si>
    <t>งวดปีงบประมาณ 2552 เพียงวันที่ 30 กันยายน 2552</t>
  </si>
  <si>
    <t>บริหาร</t>
  </si>
  <si>
    <t>ศาสนา</t>
  </si>
  <si>
    <t>งานเคหะฯ</t>
  </si>
  <si>
    <t>-10</t>
  </si>
  <si>
    <t>8</t>
  </si>
  <si>
    <t>10</t>
  </si>
  <si>
    <t>โอน เพิ่ม -ลด</t>
  </si>
  <si>
    <t>งบประมาณ</t>
  </si>
  <si>
    <t>-8</t>
  </si>
  <si>
    <t>2</t>
  </si>
  <si>
    <t>-4</t>
  </si>
  <si>
    <t>1</t>
  </si>
  <si>
    <t>5</t>
  </si>
  <si>
    <t>-1</t>
  </si>
  <si>
    <t>-2</t>
  </si>
  <si>
    <t>-3</t>
  </si>
  <si>
    <t>3</t>
  </si>
  <si>
    <t>-5</t>
  </si>
  <si>
    <t>9</t>
  </si>
  <si>
    <t>7</t>
  </si>
  <si>
    <t>4</t>
  </si>
  <si>
    <t>ค่าที่ดินฯ</t>
  </si>
  <si>
    <t>6</t>
  </si>
  <si>
    <t>-9</t>
  </si>
  <si>
    <t>-6</t>
  </si>
  <si>
    <t>-7</t>
  </si>
  <si>
    <t>รวมงบประมาณ</t>
  </si>
  <si>
    <t>พาณิชย์</t>
  </si>
  <si>
    <t>พ. 1</t>
  </si>
  <si>
    <t>โอน เพิ่ม - ลด</t>
  </si>
  <si>
    <t>ตั้งจ่ายจากสำรองเงินรายรับ</t>
  </si>
  <si>
    <t>พ.1</t>
  </si>
  <si>
    <t>งบประมาณเพิ่มเติม</t>
  </si>
  <si>
    <t>ฉ. 1</t>
  </si>
  <si>
    <t>รวมโอน เพิ่ม - ลด</t>
  </si>
  <si>
    <t>รวมตั้งจ่ายจากสำรองเงินรายรับ</t>
  </si>
  <si>
    <t>งวดปีงบประมาณ 2552 เพียงวันที่  30  กันยายน  2552</t>
  </si>
  <si>
    <t>ค่าน้ำประปา</t>
  </si>
  <si>
    <t>เงินประโยชน์ตอบแทนอื่นเป็นกรณีพิเศษ (โบนัส)</t>
  </si>
  <si>
    <t>หมายเหตุ 4</t>
  </si>
  <si>
    <t>ปีงบประมาณ 2552</t>
  </si>
  <si>
    <t>ณ วันที่ 30 กันยายน  2552</t>
  </si>
  <si>
    <t>25% ของรายรับจริงสูงกว่ารายจ่ายจริง</t>
  </si>
  <si>
    <t>ลงวันที่</t>
  </si>
  <si>
    <t>เงินทุนโครงการเศรษฐกิจชุมชน</t>
  </si>
  <si>
    <t>รายละเอียดเงินทุนโครงการเศรษฐกิจชุมชน</t>
  </si>
  <si>
    <r>
      <t>เงินทุนโครงการเศรษฐกิจชุมชน</t>
    </r>
    <r>
      <rPr>
        <sz val="16"/>
        <rFont val="DilleniaUPC"/>
        <family val="1"/>
      </rPr>
      <t xml:space="preserve">  ประกอบด้วย</t>
    </r>
  </si>
  <si>
    <t>เงินยืมฯ คงค้าง</t>
  </si>
  <si>
    <t>ดอกเบี้ยปี 52</t>
  </si>
  <si>
    <t>เทศบาลตำบลพนางตุง</t>
  </si>
  <si>
    <t>แบบ  ทส. 3</t>
  </si>
  <si>
    <t>รายละเอียดเงินขาดบัญชี</t>
  </si>
  <si>
    <t>วัน เดือน ปี</t>
  </si>
  <si>
    <t>ณ วันที่ 30 กันยายน 2552</t>
  </si>
  <si>
    <t xml:space="preserve"> 3 ก.พ. 52</t>
  </si>
  <si>
    <t>รับเงินค่าภาษีโรงเรือนและที่ดิน ตามใบเสร็จรับเงิน เล่มที่ 1/52 เลขที่ 23-25</t>
  </si>
  <si>
    <t>ลงวันที่ 3 กุมภาพันธ์ 2552 แล้วไม่ได้นำส่ง</t>
  </si>
  <si>
    <t xml:space="preserve"> 18 ก.พ. 52</t>
  </si>
  <si>
    <t>รับเงินค่าภาษีโรงเรือนและที่ดิน ตามใบเสร็จรับเงิน เล่มที่ 1/52 เลขที่ 36</t>
  </si>
  <si>
    <t>ลงวันที่ 18 กุมภาพันธ์ 2552 แล้วไม่ได้นำส่ง</t>
  </si>
  <si>
    <t xml:space="preserve"> 23 ก.พ. 52</t>
  </si>
  <si>
    <t>รับเงินค่าภาษีบำรุงท้องที่ ตามใบเสร็จรับเงิน เล่มที่ ก 2916027 เลขที่ 12-18</t>
  </si>
  <si>
    <t>ลงวันที่ 23 กุมภาพันธ์ 2552 แล้วไม่ได้นำส่ง</t>
  </si>
  <si>
    <t>รับเงินค่าขยะมูลฝอย ตามใบเสร็จรับเงิน เล่มที่ 3/52 เลขที่ 48</t>
  </si>
  <si>
    <t>ลงวันที่ 12 กุมภาพันธ์ 2552 แล้วไม่ได้นำส่ง</t>
  </si>
  <si>
    <t xml:space="preserve"> 12 ก.พ. 52</t>
  </si>
  <si>
    <t xml:space="preserve">เจ้าหน้าที่ผู้รับผิดชอบ ได้นำส่งแล้วตามใบนำส่งเลขที่ 2/53 ลงวันที่ 5 ม.ค. 53 </t>
  </si>
  <si>
    <t>เป็นเงิน 325.70 บาท และใบนำส่งเลขที่ 3/53 ลงวันที่ 6 ม.ค. 53 เป็นเงิน 865.-</t>
  </si>
  <si>
    <t>บาท รวมเป็นเงิน 1,190.70 บาท</t>
  </si>
  <si>
    <t>อาคารสำนักงาน</t>
  </si>
  <si>
    <t>รายได้เทศบาล</t>
  </si>
  <si>
    <t>เงินอุดหนุนเฉพาะกิจฝากจังหวัด</t>
  </si>
  <si>
    <t>เงินอุดหนุนเฉพาะกิจ</t>
  </si>
  <si>
    <t>เงินอุดหนุนเฉพาะกิจค้างจ่าย</t>
  </si>
  <si>
    <t>หน่วย:บาท</t>
  </si>
  <si>
    <t>จำนวนเงินตามใบอนุมัติประจำงวด</t>
  </si>
  <si>
    <t>ก่อหนี้ผูกพันจำนวนเงิน</t>
  </si>
  <si>
    <t>เบิกจ่ายแล้วจำนวนเงิน</t>
  </si>
  <si>
    <t>คงเหลือจำนวนเงิน</t>
  </si>
  <si>
    <t>หมายเหตุ 5</t>
  </si>
  <si>
    <t>(เงินอุดหนุนเฉพาะกิจที่ได้ก่อหนี้ผูกพันและยังไม่ได้เบิกจ่ายและเบิกจ่ายไม่ทัน)</t>
  </si>
  <si>
    <t>ค่าเช่าหรือค่าบริการสถานที่</t>
  </si>
  <si>
    <t>ค่าธรรมเนียมน้ำบาดาล</t>
  </si>
  <si>
    <t>หมวดเงินอุดหนุนทั่วไประบุวัตถุประสงค์</t>
  </si>
  <si>
    <t>เงินทุนหมุนเวียน</t>
  </si>
  <si>
    <t>เทศบาลตำบลลานข่อย</t>
  </si>
  <si>
    <t>ค่าปรับผิดสัญญา</t>
  </si>
  <si>
    <t>ประเภทกระแสรายวัน</t>
  </si>
  <si>
    <t>ครุภัณฑ์สำนักงาน</t>
  </si>
  <si>
    <t>ครุภัณฑ์คอมพิวเตอร์</t>
  </si>
  <si>
    <t>ครุภัณฑ์ไฟฟ้าและวิทยุ</t>
  </si>
  <si>
    <t>ครุภัณฑ์โรงงาน</t>
  </si>
  <si>
    <t>ครุภัณฑ์โฆษณาและเผยแพร่</t>
  </si>
  <si>
    <t>ครุภัณฑ์สำรวจ</t>
  </si>
  <si>
    <t>ครุภัณฑ์งานบ้านงานครัว</t>
  </si>
  <si>
    <t>ครุภัณฑ์ก่อสร้าง</t>
  </si>
  <si>
    <t>ครุภัณฑ์การเกษตร</t>
  </si>
  <si>
    <t>ครุภัณฑ์อื่นๆ</t>
  </si>
  <si>
    <t>ครุภัณฑ์การศึกษา</t>
  </si>
  <si>
    <t>เงินอุดหนุนจากรัฐบาล</t>
  </si>
  <si>
    <t>เงินคงเหลือในบัญชีเงินฝากธนาคาร บัญชีเลขที่ 645-2-47377-9</t>
  </si>
  <si>
    <t xml:space="preserve">สรุป </t>
  </si>
  <si>
    <t>มีจำนวนต่ำไป (903,788.83 - 828,650.83)</t>
  </si>
  <si>
    <t>ณ วันที่ 11 มีนาคม 2553 (วันตัดยอด)</t>
  </si>
  <si>
    <t>มีจำนวนสูงไป (903,788.83 - 1,015,342.83)</t>
  </si>
  <si>
    <t>รายละเอียดเงินทุนหมุนเวียน</t>
  </si>
  <si>
    <t>เงินทุน (ตามข้อบัญญัติฯ ประจำปี 2544)</t>
  </si>
  <si>
    <r>
      <t>เงินทุนหมุนเวียน</t>
    </r>
    <r>
      <rPr>
        <sz val="16"/>
        <rFont val="DilleniaUPC"/>
        <family val="1"/>
      </rPr>
      <t xml:space="preserve"> ประกอบด้วย</t>
    </r>
  </si>
  <si>
    <t>เงินคงเหลือ</t>
  </si>
  <si>
    <t>เนื่องจากไม่ได้แยกเงินทุนหมุนเวียน ในบัญชีเงินฝากธนาคาร จึงไม่สามารถตรวจสอบได้ว่าเงินคงเหลือ</t>
  </si>
  <si>
    <t>จำนวน 97,384.- บาท ดังกล่าวถูกต้องตรงกันหรือไม่</t>
  </si>
  <si>
    <t>เงินยืมเงินงบประมาณ</t>
  </si>
  <si>
    <t xml:space="preserve">รับจริง </t>
  </si>
  <si>
    <t>ค่าใบอนุญาตเกี่ยวกับการสาธารณสุข</t>
  </si>
  <si>
    <t>กม.อุทยานแห่งชาติ</t>
  </si>
  <si>
    <t>ค่าธรรมเนียมใบอนุญาตและคู่มือคนงาน</t>
  </si>
  <si>
    <t>ค่าใบอนุญาตอื่นๆ</t>
  </si>
  <si>
    <t>ดอกเบี้ยเงินฝาก ก.ส.ท.</t>
  </si>
  <si>
    <t>รายได้จากทรัพย์สินอื่น</t>
  </si>
  <si>
    <t>ค่าจำหน่ายแบบพิมพ์และคำร้อง</t>
  </si>
  <si>
    <t>ค่าทรัพยากรธรณี</t>
  </si>
  <si>
    <t>เงินอุดหนุนทั่วไปสนับสนุนการกระจายอำนาจให้ อปท.</t>
  </si>
  <si>
    <t>เงินอุดหนุนเบี้ยยังชีพผู้สูงอายุ</t>
  </si>
  <si>
    <t>เงินอุดหนุนอาหารเสริมนม</t>
  </si>
  <si>
    <t>เงินอุดหนุนสนับสนุนศุนย์เด็ก</t>
  </si>
  <si>
    <t>เงินอุดหนุนชดเชยค่าน้ำ</t>
  </si>
  <si>
    <t>เงินรางวัลพยายามจัดเก็บภาษี</t>
  </si>
  <si>
    <t>อุดหนุนครุภัณฑ์ศูนย์เด็ก</t>
  </si>
  <si>
    <t>(นางสาวสุณิสา  หนูรอด)</t>
  </si>
  <si>
    <t>รายละเอียดประมาณการรายจ่าย และรายการโอนเพิ่ม - ลด และจ่ายจริงตามงบประมาณและนอกงบประมาณ</t>
  </si>
  <si>
    <t xml:space="preserve">การศึกษา </t>
  </si>
  <si>
    <t>อุตสาหกรรมฯ</t>
  </si>
  <si>
    <t>จ่ายจริงตามงบประมาณ</t>
  </si>
  <si>
    <t>จ่ายจริงนอกงบประมาณ</t>
  </si>
  <si>
    <t>รวมจ่าย</t>
  </si>
  <si>
    <t>สูง (ต่ำ) กว่างบประมาณ</t>
  </si>
  <si>
    <t>ณ วันที่ 11 มีนาคม  2553</t>
  </si>
  <si>
    <t>เทศบาลตำบลร่มเมือง</t>
  </si>
  <si>
    <t>ดอกเบี้ยโครงการถ่ายโอน</t>
  </si>
  <si>
    <t>ณ  วันที่  30 กันยายน  2553</t>
  </si>
  <si>
    <t>เงินสดคงเหลือ  ณ วันที่  16  พฤศจิกายน  2553</t>
  </si>
  <si>
    <t>เงินสดจ่าย ตั้งแต่วันที่ 1 ตุลาคม 2553 - 16 พฤศจิกายน 2553</t>
  </si>
  <si>
    <t>เงินสดรับ ตั้งแต่วันที่ 1 ตุลาคม 2553 - 16 พฤศจิกายน 2553</t>
  </si>
  <si>
    <t>เงินสดคงเหลือ  ณ วันที่ 30  กันยายน  2553</t>
  </si>
  <si>
    <t>ณ  วันที่  30  กันยายน  2553</t>
  </si>
  <si>
    <t>ประเภทประจำ</t>
  </si>
  <si>
    <t>ปีงบประมาณ 2553</t>
  </si>
  <si>
    <t>เงินสะสม  1  ตุลาคม  2552</t>
  </si>
  <si>
    <t>เงินอุดหนุนเฉพาะกิจค้างจ่าย ปี 50 และ 52 (เหลือจ่าย)</t>
  </si>
  <si>
    <t>ปรับปรุงรายได้ค้างรับ-ภาษีบำรุงท้องที่</t>
  </si>
  <si>
    <t>ปีก่อน</t>
  </si>
  <si>
    <t>นายกเทศมนตรีตำบลร่มเมือง</t>
  </si>
  <si>
    <t>ปลัดเทศบาลตำบลร่มเมือง</t>
  </si>
  <si>
    <t>ครุภัณฑ์ดับเพลิง</t>
  </si>
  <si>
    <t>รับคืนเงินอุดหนุนค่าอาหารกลางวันปีก่อน</t>
  </si>
  <si>
    <t>ยกเลิกเช็คเลขที่ 1716174 ลว. 20 ก.ค. 52 เนื่องจากเกินอายุ 6 เดือน</t>
  </si>
  <si>
    <t>เงินสะสม  30  กันยายน   2553</t>
  </si>
  <si>
    <t>2.  ลูกหนี้ค่าน้ำประปา</t>
  </si>
  <si>
    <t>เลขที่</t>
  </si>
  <si>
    <t>รับชำระหนี้ภาษีบำรุงท้องที่</t>
  </si>
  <si>
    <t>รายละเอียดประกอบเงินสะสม - ปรับปรุงรายได้ค้างรับภาษีบำรุงท้องที่</t>
  </si>
  <si>
    <t xml:space="preserve"> 1/53</t>
  </si>
  <si>
    <t xml:space="preserve"> 25 ต.ค. 52</t>
  </si>
  <si>
    <t>รับชำระหนี้ภาษีบำรุงท้องที่ (อบต.)</t>
  </si>
  <si>
    <t>รับชำระหนี้ภาษีบำรุงท้องที่ (เทศบาล)</t>
  </si>
  <si>
    <t xml:space="preserve"> 30 ต.ค. 52</t>
  </si>
  <si>
    <t xml:space="preserve"> 5/53</t>
  </si>
  <si>
    <t xml:space="preserve"> 30 พ.ย. 52</t>
  </si>
  <si>
    <t xml:space="preserve"> 26/53</t>
  </si>
  <si>
    <t xml:space="preserve"> 31 ม.ค. 53</t>
  </si>
  <si>
    <t xml:space="preserve"> 33/53</t>
  </si>
  <si>
    <t xml:space="preserve"> 28 ก.พ. 53</t>
  </si>
  <si>
    <t xml:space="preserve"> 39/53</t>
  </si>
  <si>
    <t xml:space="preserve"> 31 มี.ค. 53</t>
  </si>
  <si>
    <t xml:space="preserve"> 43/53</t>
  </si>
  <si>
    <t xml:space="preserve"> 30 เม.ย. 53</t>
  </si>
  <si>
    <t>ใบผ่านรายการบัญชีทั่วไป</t>
  </si>
  <si>
    <t xml:space="preserve"> 50/53</t>
  </si>
  <si>
    <t xml:space="preserve"> 31 พ.ค. 53</t>
  </si>
  <si>
    <t xml:space="preserve"> 71/53</t>
  </si>
  <si>
    <t xml:space="preserve"> 31 ส.ค. 53</t>
  </si>
  <si>
    <t xml:space="preserve"> 76/53</t>
  </si>
  <si>
    <t xml:space="preserve"> 30 ก.ย. 53</t>
  </si>
  <si>
    <t xml:space="preserve"> 84/53</t>
  </si>
  <si>
    <t>ณ วันที่ 30 กันยายน  2553</t>
  </si>
  <si>
    <t>ยอดยกมา  1  ตุลาคม  2552</t>
  </si>
  <si>
    <t>โรงจอดรถ</t>
  </si>
  <si>
    <t>ป้อมยาม</t>
  </si>
  <si>
    <t>(หมายเหตุ 7)</t>
  </si>
  <si>
    <t>ปรับปรุงล้างลูกหนี้คงค้างปีก่อน</t>
  </si>
  <si>
    <t>เงินทุนหมุนเวียน อบต.</t>
  </si>
  <si>
    <t>กระดาษทำการเงินสะสม</t>
  </si>
  <si>
    <t>งวดปีงบประมาณ 2553  ณ วันที่  30 กันยายน  2553</t>
  </si>
  <si>
    <t>งวดปีงบประมาณ 2554  ตั้งแต่วันที่  1  ตุลาคม  2553  ถึงวันที่  16 พฤศจิกายน 2553</t>
  </si>
  <si>
    <t>แบบ ทส. 10</t>
  </si>
  <si>
    <t>ที่ .......................…</t>
  </si>
  <si>
    <t xml:space="preserve">สำนักงานการตรวจเงินแผ่นดินภูมิภาคที่ 14   </t>
  </si>
  <si>
    <t xml:space="preserve">วันที่   17    เดือน  พฤศจิกายน    </t>
  </si>
  <si>
    <t>พ.ศ.   2553</t>
  </si>
  <si>
    <t>เรื่อง    ขอให้สำรวจและรับรองลูกหนี้ต่าง ๆ คงค้าง</t>
  </si>
  <si>
    <t>เรียน   นายกเทศมนตรีตำบลร่มเมือง</t>
  </si>
  <si>
    <t xml:space="preserve">                      เพื่อให้การตรวจสอบบัญชีของหน่วยการเงินแห่งนี้        ได้เป็นไปตามความประสงค์ของกระทรวงมหาดไทย</t>
  </si>
  <si>
    <t>ซึ่งมีความประสงค์จะทราบกระแสการเงินและฐานะการเงินของท้องถิ่น สำนักงานการตรวจเงินแผ่นดินภูมิภาคที่ 14 จึงเรียนมา  เพื่อขอ</t>
  </si>
  <si>
    <t>ได้โปรดสั่งเจ้าหน้าที่ผู้มีหน้าที่เกี่ยวข้องกับการนี้   ได้จัดการสำรวจและรับรองบรรดาลูกหนี้ประเภทต่าง  ๆ ของ</t>
  </si>
  <si>
    <t>แผนก        เทศบาลตำบลร่มเมือง</t>
  </si>
  <si>
    <t xml:space="preserve">                       ที่ค้างอยู่เมื่อวันที่      30  กันยายน  2553</t>
  </si>
  <si>
    <t>และมอบให้กับเจ้าหน้าที่ผู้ได้รับมอบหมายให้ทำการตรวจสอบบัญชีของหน่วยการเงินนี้  เพื่อประกอบรายงานการตรวจส่ง</t>
  </si>
  <si>
    <t>กระทรวงมหาดไทยได้ตามความประสงค์ตามรายละเอียดข้างท้ายนี้ด้วย</t>
  </si>
  <si>
    <t>ขอแสดงความนับถือ</t>
  </si>
  <si>
    <t>.................................................................................</t>
  </si>
  <si>
    <t>(นางจุรีรัตน์   จันทร์ทอง)</t>
  </si>
  <si>
    <t>นักวิชาการตรวจเงินแผ่นดิน 7</t>
  </si>
  <si>
    <t>แผนก       เทศบาล</t>
  </si>
  <si>
    <t>เทศบาล......................................…</t>
  </si>
  <si>
    <t>ที่ค้างอยู่เมื่อวันที่   30  กันยายน  2553</t>
  </si>
  <si>
    <t>แผนกเทศบาลตำบลร่มเมือง</t>
  </si>
  <si>
    <t>แผนกการประปา</t>
  </si>
  <si>
    <t>ราย</t>
  </si>
  <si>
    <t>เงิน</t>
  </si>
  <si>
    <t>เงินยืม เงินงบประมาณ</t>
  </si>
  <si>
    <t>เงินยืม</t>
  </si>
  <si>
    <t>-</t>
  </si>
  <si>
    <t>ค่าภาษีอากร</t>
  </si>
  <si>
    <t>ค่าน้ำจากมาตร</t>
  </si>
  <si>
    <t>ค่าภาษีบำรุงท้องที่</t>
  </si>
  <si>
    <t>ค่าน้ำจากท่อธาร</t>
  </si>
  <si>
    <t>ค่า......................................................</t>
  </si>
  <si>
    <t>ค่าเงินกองทุนหมุนเวียน</t>
  </si>
  <si>
    <t>ค่าเช่าเครื่องวัด</t>
  </si>
  <si>
    <t>ค่าเงินทุนโครงการเศรษฐกิจชุมชน</t>
  </si>
  <si>
    <t>ค่าขายสิ่งของ</t>
  </si>
  <si>
    <t>รายได้...............................................................</t>
  </si>
  <si>
    <t>เบ็ดเตล็ด</t>
  </si>
  <si>
    <t xml:space="preserve">อื่น ๆ </t>
  </si>
  <si>
    <t xml:space="preserve">          ขอรับรองว่ารายการลูกหนี้คงค้างที่แสดงไว้ข้างต้นนี้ถูกต้องและตรงต่อความจริง</t>
  </si>
  <si>
    <t>ลงชื่อ……………..........…………………………ปลัดเทศบาล               ลงชื่อ…………………………………………………….. หัวหน้าหน่วยงานคลัง</t>
  </si>
  <si>
    <t xml:space="preserve">       วันที่  24  พฤศจิกายน  2553</t>
  </si>
  <si>
    <t xml:space="preserve">                       ที่ค้างอยู่เมื่อวันที่      16  พฤศจิกายน  2553</t>
  </si>
  <si>
    <t>ที่ค้างอยู่เมื่อวันที่   16  พฤศจิกายน 2553</t>
  </si>
  <si>
    <t>รายได้รอส่งคืน</t>
  </si>
  <si>
    <r>
      <t>บวก</t>
    </r>
    <r>
      <rPr>
        <sz val="16"/>
        <rFont val="Angsana New"/>
        <family val="0"/>
      </rPr>
      <t xml:space="preserve"> ตั้งเพิ่มปีงบประมาณ 2553</t>
    </r>
  </si>
  <si>
    <t>ยอดคงเหลือ ณ 30  กันยายน  2553</t>
  </si>
  <si>
    <t>(นายสมพงษ์  ดอนเพ็งจันทร์</t>
  </si>
  <si>
    <t>(นางอารีย์   สังข์ทอง)</t>
  </si>
  <si>
    <t>(นางณัฐพร  บัวมา)</t>
  </si>
  <si>
    <t>เงินรับฝาก - สหกรณ์พนักงานเทศบาล</t>
  </si>
  <si>
    <t>สำนักงานเทศบาลตำบลร่มเมือง</t>
  </si>
  <si>
    <t>งบประมาณการ</t>
  </si>
  <si>
    <t>เคหะ</t>
  </si>
  <si>
    <t>การ</t>
  </si>
  <si>
    <t>ความสงบ</t>
  </si>
  <si>
    <t>และชุมชน</t>
  </si>
  <si>
    <t>วัฒนธรรมและ</t>
  </si>
  <si>
    <t>ภายใน</t>
  </si>
  <si>
    <t>ของชุมชน</t>
  </si>
  <si>
    <t>การโยธา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</si>
  <si>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</si>
  <si>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</si>
  <si>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</si>
  <si>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</si>
  <si>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</si>
  <si>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</si>
  <si>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</si>
  <si>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</si>
  <si>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รายจ่ายอื่น</t>
  </si>
  <si>
    <t xml:space="preserve">     งบกลาง</t>
  </si>
  <si>
    <t xml:space="preserve">     ภาษีอากร</t>
  </si>
  <si>
    <t xml:space="preserve">     ค่าธรรมเนียมค่าปรับและใบอนุญาต</t>
  </si>
  <si>
    <t xml:space="preserve">     รายได้จากสาธารณูปโภค</t>
  </si>
  <si>
    <t xml:space="preserve">     รายได้เบ็ดเตล็ด</t>
  </si>
  <si>
    <t xml:space="preserve">     รายได้จากทุน</t>
  </si>
  <si>
    <t xml:space="preserve">     รัฐบาลจัดสรรให้</t>
  </si>
  <si>
    <t xml:space="preserve">     อุดหนุนทั่วไป</t>
  </si>
  <si>
    <t>อุดหนุนทั่วไปตามวัตถุประสงค์</t>
  </si>
  <si>
    <t xml:space="preserve">     อุดหนุนเฉพาะกิจ</t>
  </si>
  <si>
    <t xml:space="preserve">     รายรับสูงกว่าหรือ  (ต่ำกว่า)  รายจ่าย</t>
  </si>
  <si>
    <t>เทศบาลตำบลร่มเมือง  อำเภอเมือง  จังหวัดพัทลุง</t>
  </si>
  <si>
    <t>ผู้อำนวยการกองคลัง</t>
  </si>
  <si>
    <t>เทศบาลตำบลร่มเมือง   อำเภอเมือง  จังหวัดพัทลุง</t>
  </si>
  <si>
    <t xml:space="preserve">                                  เทศบาลตำบลร่มเมือง   อำเภอเมือง  จังหวัดพัทลุง                              </t>
  </si>
  <si>
    <r>
      <t>รายจ่ายรอจ่าย</t>
    </r>
    <r>
      <rPr>
        <sz val="16"/>
        <rFont val="DilleniaUPC"/>
        <family val="1"/>
      </rPr>
      <t xml:space="preserve">  </t>
    </r>
  </si>
  <si>
    <t xml:space="preserve"> (หมายเหตุ 5)</t>
  </si>
  <si>
    <t>ค่าใช้สอย /ค่าจ้างเหมาประกอบอาหาร ศพด.</t>
  </si>
  <si>
    <t>ค่าวัสดุ / ค่าอาหารเสริม (นม) ศพด.และ</t>
  </si>
  <si>
    <t>3. เงินฝากเงินทุนส่งเสริมกิจการเทศบาล</t>
  </si>
  <si>
    <t>งบแสดงผลการดำเนินงานจ่ายจากเงินรายรับและเงินสะสม</t>
  </si>
  <si>
    <t>ตำบลร่มเมือง</t>
  </si>
  <si>
    <t xml:space="preserve"> 17 ส.ค.54</t>
  </si>
  <si>
    <t>เงินอุดหนุน /อุดหนุนขยายเขตไฟฟ้าบริเวณ</t>
  </si>
  <si>
    <t>สำนักงานเทศบาลและ หมู่ที่ 8 ต.ร่มเมือง</t>
  </si>
  <si>
    <t>สมัยที่ 3 ครั้งที่ 3 ประจำปี</t>
  </si>
  <si>
    <t>2554 ลว. 17 ส.ค.54</t>
  </si>
  <si>
    <t>รับคืนเงินงบประมาณเหลือจ่ายจากปีก่อนส่งคืน</t>
  </si>
  <si>
    <t>เงินทุนโครงการเศรษฐกิจชุมชน บัญชี  2</t>
  </si>
  <si>
    <t>4. เงินสะสมที่สามารถนำไปใช้จ่ายได้</t>
  </si>
  <si>
    <t xml:space="preserve">  (นางณัฐพร   บัวมา)</t>
  </si>
  <si>
    <t xml:space="preserve">  ผู้อำนวยการกองคลัง</t>
  </si>
  <si>
    <t>..............................................</t>
  </si>
  <si>
    <t xml:space="preserve">  .................................................              ..............................................</t>
  </si>
  <si>
    <t xml:space="preserve">     (นางอารีย์   สังข์ทอง)                      (นายสมพงษ์  ดอนเพ็งจันทร์)</t>
  </si>
  <si>
    <t xml:space="preserve">    ปลัดเทศบาลตำบลร่มเมือง                  นายกเทศมนตรีตำบลร่มเมือง</t>
  </si>
  <si>
    <t>รายละเอียดปรากฎตามหมายเหตุ 7.1</t>
  </si>
  <si>
    <t>เงินทุนโครงการเศรษฐกิจชุมชน บัญชี 2</t>
  </si>
  <si>
    <t>เงินทุนโครงการเศรษฐกิจชุมชน บัญชี 1</t>
  </si>
  <si>
    <t>ตั้งแต่วันที่  1  ตุลาคม  2554  ถึงวันที่   30  กันยายน   2555</t>
  </si>
  <si>
    <t>ณ  วันที่  30  กันยายน  2555</t>
  </si>
  <si>
    <t>เงินสะสม  1  ตุลาคม  2554</t>
  </si>
  <si>
    <t>เงินสะสม  30  กันยายน   2555</t>
  </si>
  <si>
    <t>เงินส.ะสม  30  กันยายน  2555 ประกอบด้วย</t>
  </si>
  <si>
    <t>1.  ลูกหนี้ค่าภาษีบำรุงท้องที่</t>
  </si>
  <si>
    <t>หมายเหตุ    ในปีงบประมาณ 2555 ได้รับอนุมัติให้จ่ายเงินสะสม จำนวน 1,526,568.03  บาท</t>
  </si>
  <si>
    <t>ณ    30   กันยายน    2555</t>
  </si>
  <si>
    <t>ณ 30 ก.ย.55</t>
  </si>
  <si>
    <t>ปีงบประมาณ 2555</t>
  </si>
  <si>
    <t>เงินอุดหนุน / อุดหนุนส่วนราชการ เอกชนฯ</t>
  </si>
  <si>
    <t xml:space="preserve">ขยายเขตไฟฟ้าสาธารณะภายในตำบล </t>
  </si>
  <si>
    <t>ที่ดินและสิ่งก่อสร้าง / ประเภทอาคาร</t>
  </si>
  <si>
    <t>ก่อสร้างศาลาอเนกประสงค์ หมู่ที่ 5 ต.ร่มเมือง</t>
  </si>
  <si>
    <t>โรงเรียนในเขตรับผิดชอบ</t>
  </si>
  <si>
    <t>ที่ดินและสิ่งก่อสร้าง / ประเภทถนน</t>
  </si>
  <si>
    <t>โครงการยกระดับถนนสายซอยตาเลี่ยม หมู่ .1</t>
  </si>
  <si>
    <t>ครุภัณฑ์ / ประเภทยานพาหนะและขนส่ง</t>
  </si>
  <si>
    <t>จัดซื้อรถบรรทุก (ดีเซล)</t>
  </si>
  <si>
    <t>ก่อสร้างถนนลาดยางสายหนองเหม้า-ควนดินแดง</t>
  </si>
  <si>
    <t>ตั้งแต่วันที่  1  ตุลาคม  2554     ถึง   30   กันยายน    2555</t>
  </si>
  <si>
    <t>แผนงานการศึกษา 00210</t>
  </si>
  <si>
    <t>ด้านบริหารงานทั่วไป 00100</t>
  </si>
  <si>
    <t>แผนงานบริหารงานทั่วไป (00110)</t>
  </si>
  <si>
    <t>ด้านบริการชุมชนและสังคม 00200</t>
  </si>
  <si>
    <t>แผนงานเคหะและชุมชน 00240</t>
  </si>
  <si>
    <t>ปี 2556</t>
  </si>
  <si>
    <t xml:space="preserve"> 28 มิ.ย.55</t>
  </si>
  <si>
    <t>เงินเดือน / เงินเดือนคณะผู้บริหารท้องถิ่น</t>
  </si>
  <si>
    <t>เลขานุการนายก /ที่ปรึกษา</t>
  </si>
  <si>
    <t>หัวหน้าส่วนราชการ</t>
  </si>
  <si>
    <t xml:space="preserve">  รายงานการประชุมผู้บริหาร</t>
  </si>
  <si>
    <t xml:space="preserve">      วันที่  28 มิ.ย.2555</t>
  </si>
  <si>
    <t>เงินเดือน / เงินเดือนพนักงานเทศบาล</t>
  </si>
  <si>
    <t>เงินตกเบิกค่าครองชีพตามมติคณะรัฐมนตรีฯ</t>
  </si>
  <si>
    <t>ค่าจ้างประจำ /เงินเพิ่มค่าครองชีพค่าจ้าง</t>
  </si>
  <si>
    <t>ค่าจ้างชั่วคราว / เงินเพิ่มค่าครองชีพพนัก</t>
  </si>
  <si>
    <t>งานจ้างทั่วไปตามมติ ครม.ฯ</t>
  </si>
  <si>
    <t>ลูกจ้างประจำ  ตามมติ ครม.ฯ</t>
  </si>
  <si>
    <t xml:space="preserve"> 27 ก.ย.55</t>
  </si>
  <si>
    <t>ที่ดินและสิ่งก่อสร้าง / ขุดลอกหัวยลำป๋อง</t>
  </si>
  <si>
    <t>ที่ดินและสิ่งก่อสร้าง / ขุดลอกคูระบายน้ำริม</t>
  </si>
  <si>
    <t>ถนนสายป่าตอ - สี่แยกบ้านฉิม หมู่ที่ 4 ติด</t>
  </si>
  <si>
    <t>ต่อกับหมู่ที่ 8 ต.ร่มเมือง</t>
  </si>
  <si>
    <t>หมู่ที่ 4 ต.ร่มเมือง</t>
  </si>
  <si>
    <t>ที่ดินและสิ่งก่อสร้าง / ขุดลอกคูระบายน้ำ</t>
  </si>
  <si>
    <t>ริมถนนท่านช่วยทุ่งนาชีช่วงสะพานเรือก -</t>
  </si>
  <si>
    <t>สายแยกต้นตอ หมู่ที่ 5 ต.ร่มเมือง</t>
  </si>
  <si>
    <t>รายงานประชุมสภาเทศบาล</t>
  </si>
  <si>
    <t>ตำบลร่มเมือง สมัยวิสามัญ</t>
  </si>
  <si>
    <t>สมัยที่ 1  ประจำปี 2555</t>
  </si>
  <si>
    <t>วันที่  27  กันยายน  2555</t>
  </si>
  <si>
    <t xml:space="preserve"> -มติประชุมสภาสมัยสามัญ</t>
  </si>
  <si>
    <t>ค่าตอบแทน /ค่าตอบแทนสมาชิกสภาเทศบาล-</t>
  </si>
  <si>
    <t>หมายเหตุ 7.1</t>
  </si>
  <si>
    <t xml:space="preserve">                                                                                                                        เทศบาลตำบลร่มเมือง  อำเภอเมือง  จังหวัดพัทลุง                                                                                                                                    </t>
  </si>
  <si>
    <t>รายจ่ายค้างจ่าย  (เบิกตัดปี)</t>
  </si>
  <si>
    <t>รายงานการประชุมสภาเทศบาล</t>
  </si>
  <si>
    <t xml:space="preserve">สัญญาจ้างเลขที่ 1/2555 </t>
  </si>
  <si>
    <t>ลว.29 พ.ย.55</t>
  </si>
  <si>
    <t>สัญญาซื้อขาย เลขที่ 2/2555</t>
  </si>
  <si>
    <t>ลว 14  พ.ค. 2555</t>
  </si>
  <si>
    <t>หนังสือที่ มท.5305.94/พท(บค)</t>
  </si>
  <si>
    <t>4913/2555 ลว.25 ก.ย. 55</t>
  </si>
  <si>
    <t>4942/2555 ลว.27 ก.ย. 55</t>
  </si>
  <si>
    <t xml:space="preserve">สัญญาจ้างเลขที่ 2/2555 </t>
  </si>
  <si>
    <t>ลว.29  มิ.ย.55</t>
  </si>
  <si>
    <t>สัญญาจ้างเลขที่ 4/2555</t>
  </si>
  <si>
    <t>ลว.14 ก.ย. 55</t>
  </si>
  <si>
    <t>สมัยที่ 1 ประจำปี 2555</t>
  </si>
  <si>
    <t>ลว. 27 ก.ย. 2555</t>
  </si>
  <si>
    <t xml:space="preserve">     เงินเดือน            (หมายเหตุ 1)</t>
  </si>
  <si>
    <t xml:space="preserve">     ค่าจ้างประจำ      (หมายเหตุ 2)</t>
  </si>
  <si>
    <t xml:space="preserve">     ค่าจ้างชั่วคราว       (หมายเหตุ 3)</t>
  </si>
  <si>
    <t xml:space="preserve">     ค่าตอบแทน         (หมายเหตุ 4)</t>
  </si>
  <si>
    <t xml:space="preserve">     เงินอุดหนุน         (หมายเหตุ 5)</t>
  </si>
  <si>
    <t xml:space="preserve">     ค่าครุภัณฑ์        (หมายเหตุ 6)</t>
  </si>
  <si>
    <t xml:space="preserve">     ค่าที่ดินและสิ่งก่อสร้าง (หมายเหตุ 7)</t>
  </si>
  <si>
    <t xml:space="preserve">     ค่าครุภัณฑ์    (หมายเหตุ 1)</t>
  </si>
  <si>
    <t xml:space="preserve">     ค่าที่ดินและสิ่งก่อสร้าง (หมายเหตุ2)</t>
  </si>
  <si>
    <t>รายละเอียดลูกหนี้ค้างชำระ</t>
  </si>
  <si>
    <t>ณ วันที่  30  กันยายน  2555</t>
  </si>
  <si>
    <t>จำนวนราย</t>
  </si>
  <si>
    <t>ลูกหนี้ภาษีบำรุงท้องที่   ปี 2541</t>
  </si>
  <si>
    <t>ลูกหนี้ภาษีบำรุงท้องที่   ปี 2542</t>
  </si>
  <si>
    <t>ลูกหนี้ภาษีบำรุงท้องที่   ปี 2543</t>
  </si>
  <si>
    <t>ลูกหนี้ภาษีบำรุงท้องที่   ปี 2544</t>
  </si>
  <si>
    <t>ลูกหนี้ภาษีบำรุงท้องที่   ปี 2545</t>
  </si>
  <si>
    <t>ลูกหนี้ภาษีบำรุงท้องที่   ปี 2546</t>
  </si>
  <si>
    <t>ลูกหนี้ภาษีบำรุงท้องที่   ปี 2547</t>
  </si>
  <si>
    <t>ลูกหนี้ภาษีบำรุงท้องที่   ปี 2548</t>
  </si>
  <si>
    <t>ลูกหนี้ภาษีบำรุงท้องที่   ปี 2549</t>
  </si>
  <si>
    <t>ลูกหนี้ภาษีบำรุงท้องที่   ปี 2551</t>
  </si>
  <si>
    <t>ลูกหนี้ภาษีบำรุงท้องที่   ปี 2552</t>
  </si>
  <si>
    <t>ลูกหนี้ภาษีบำรุงท้องที่   ปี 2553</t>
  </si>
  <si>
    <t>ลูกหนี้ภาษีบำรุงท้องที่   ปี 2554</t>
  </si>
  <si>
    <t>ลูกหนี้ภาษีบำรุงท้องที่   ปี 2555</t>
  </si>
  <si>
    <t>95%  = 1,292</t>
  </si>
  <si>
    <t>95%  = 1,595.05</t>
  </si>
  <si>
    <t>95%  = 1,670.10</t>
  </si>
  <si>
    <t>95%  = 1,780.30</t>
  </si>
  <si>
    <t>95%  = 233.70</t>
  </si>
  <si>
    <t>95%  = 401.85</t>
  </si>
  <si>
    <t>95%  = 487.35</t>
  </si>
  <si>
    <t>95%  = 766.65</t>
  </si>
  <si>
    <t>95%  = 1,309.10</t>
  </si>
  <si>
    <t>95%  = 1,616.90</t>
  </si>
  <si>
    <t>95%  = 2,205.90</t>
  </si>
  <si>
    <t>95%  = 1,162.80</t>
  </si>
  <si>
    <t>95%  = 2,483.30</t>
  </si>
  <si>
    <t>95%  = 5,711.40</t>
  </si>
  <si>
    <t>95%  = 22,716.40</t>
  </si>
  <si>
    <t>ลูกหนี้ค่าน้ำประปา ปี 2553</t>
  </si>
  <si>
    <t>ลูกหนี้ค่าน้ำประปา ปี 2554</t>
  </si>
  <si>
    <t>ลูกหนี้ค่าน้ำประปา ปี 2555</t>
  </si>
  <si>
    <t>งบแสดงผลการดำเนินงานจ่ายจากเงินอุดหนุนเฉพาะกิจ</t>
  </si>
  <si>
    <t>อุดหนุนจากรัฐบาล</t>
  </si>
  <si>
    <t>เงินภาษีหัก ณ ที่จ่าย</t>
  </si>
  <si>
    <t>เงินกองทุนหมุนเวียน</t>
  </si>
  <si>
    <t>เงินรับฝาก - ค่าใช้จ่ายในการจัดเก็บภาษีบำรุงท้องที่ 5%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</si>
</sst>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0_-;\(\ #,##0.00\);\ &quot;-&quot;??_-;_-@_-"/>
    <numFmt numFmtId="200" formatCode="_-* #,##0_-;\-* #,##0_-;_-* &quot;-&quot;??_-;_-@_-"/>
    <numFmt numFmtId="201" formatCode="#,##0.00_ ;\-#,##0.00\ "/>
    <numFmt numFmtId="202" formatCode="#,##0.00;[Red]#,##0.00"/>
    <numFmt numFmtId="203" formatCode="\+\ \ #,##0.00_ ;\-\ \ #,##0.00_ ;* &quot;-&quot;_ \ ;\-\ "/>
    <numFmt numFmtId="204" formatCode="_-* #,##0.000_-;\-* #,##0.000_-;_-* &quot;-&quot;??_-;_-@_-"/>
    <numFmt numFmtId="205" formatCode="_-* #,##0.0_-;\-* #,##0.0_-;_-* &quot;-&quot;??_-;_-@_-"/>
    <numFmt numFmtId="206" formatCode="_(* #,##0.0_);_(* \(#,##0.0\);_(* &quot;-&quot;_);_(@_)"/>
    <numFmt numFmtId="207" formatCode="_(* #,##0.00_);_(* \(#,##0.00\);_(* &quot;-&quot;_);_(@_)"/>
    <numFmt numFmtId="208" formatCode="0.00;[Red]0.00"/>
    <numFmt numFmtId="209" formatCode="[$-F800]dddd\,\ mmmm\ dd\,\ yyyy"/>
    <numFmt numFmtId="210" formatCode="[$-41E]d\ mmmm\ yyyy"/>
    <numFmt numFmtId="211" formatCode="#,###.000;\(#,##0.00\)"/>
    <numFmt numFmtId="212" formatCode="[$-107041E]d\ mmm\ yy;@"/>
    <numFmt numFmtId="213" formatCode="#,##0.00;\(#,##0.00\)"/>
    <numFmt numFmtId="214" formatCode="_-* #,##0.0000_-;\-* #,##0.0000_-;_-* &quot;-&quot;??_-;_-@_-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#,##0_ ;\-#,##0\ "/>
    <numFmt numFmtId="220" formatCode="#,##0.00_ ;[Red]\-#,##0.00\ "/>
    <numFmt numFmtId="221" formatCode="0_ ;\-0\ "/>
    <numFmt numFmtId="222" formatCode="#,##0.0_ ;\-#,##0.0\ "/>
    <numFmt numFmtId="223" formatCode="#,##0.0;\-#,##0.0"/>
    <numFmt numFmtId="224" formatCode="0.0"/>
    <numFmt numFmtId="225" formatCode="[&lt;=99999999][$-D000000]0\-####\-####;[$-D000000]#\-####\-####"/>
    <numFmt numFmtId="226" formatCode="0.00_ ;\-0.00\ "/>
    <numFmt numFmtId="227" formatCode="d\ ดดดด\ bbbb"/>
    <numFmt numFmtId="228" formatCode="#,##0;[Red]#,##0"/>
    <numFmt numFmtId="229" formatCode="#,##0.000;[Red]#,##0.000"/>
    <numFmt numFmtId="230" formatCode="#,##0.0;[Red]#,##0.0"/>
    <numFmt numFmtId="231" formatCode="#,##0.0000;[Red]#,##0.0000"/>
    <numFmt numFmtId="232" formatCode="#,##0.00000;[Red]#,##0.00000"/>
    <numFmt numFmtId="233" formatCode="#,##0.000000;[Red]#,##0.000000"/>
    <numFmt numFmtId="234" formatCode="#,##0.0"/>
    <numFmt numFmtId="235" formatCode="mmm\-yyyy"/>
    <numFmt numFmtId="236" formatCode="#,##0.0_ ;[Red]\-#,##0.0\ "/>
    <numFmt numFmtId="237" formatCode="#,##0_ ;[Red]\-#,##0\ "/>
    <numFmt numFmtId="238" formatCode="0.000;[Red]0.000"/>
    <numFmt numFmtId="239" formatCode="0.0000;[Red]0.0000"/>
    <numFmt numFmtId="240" formatCode="#,##0.000"/>
    <numFmt numFmtId="241" formatCode="#,###.00;\(#,##0.0\)"/>
    <numFmt numFmtId="242" formatCode="#,###.0000;\(#,##0.000\)"/>
  </numFmts>
  <fonts count="71">
    <font>
      <sz val="16"/>
      <name val="Angsana New"/>
      <family val="0"/>
    </font>
    <font>
      <b/>
      <sz val="16"/>
      <name val="Angsana New"/>
      <family val="1"/>
    </font>
    <font>
      <sz val="14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8"/>
      <name val="Angsana New"/>
      <family val="1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b/>
      <sz val="16"/>
      <name val="DilleniaUPC"/>
      <family val="1"/>
    </font>
    <font>
      <sz val="16"/>
      <name val="DilleniaUPC"/>
      <family val="1"/>
    </font>
    <font>
      <sz val="12"/>
      <name val="DilleniaUPC"/>
      <family val="1"/>
    </font>
    <font>
      <u val="single"/>
      <sz val="16"/>
      <name val="DilleniaUPC"/>
      <family val="1"/>
    </font>
    <font>
      <u val="doubleAccounting"/>
      <sz val="16"/>
      <name val="DilleniaUPC"/>
      <family val="1"/>
    </font>
    <font>
      <u val="single"/>
      <sz val="12"/>
      <name val="DilleniaUPC"/>
      <family val="1"/>
    </font>
    <font>
      <sz val="14"/>
      <name val="DilleniaUPC"/>
      <family val="1"/>
    </font>
    <font>
      <sz val="14"/>
      <color indexed="10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sz val="18"/>
      <name val="DilleniaUPC"/>
      <family val="1"/>
    </font>
    <font>
      <sz val="20"/>
      <name val="DilleniaUPC"/>
      <family val="1"/>
    </font>
    <font>
      <b/>
      <sz val="20"/>
      <name val="DilleniaUPC"/>
      <family val="1"/>
    </font>
    <font>
      <u val="single"/>
      <sz val="16"/>
      <name val="Angsana New"/>
      <family val="1"/>
    </font>
    <font>
      <b/>
      <sz val="12"/>
      <name val="Angsana New"/>
      <family val="1"/>
    </font>
    <font>
      <sz val="10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3"/>
      <name val="Angsana New"/>
      <family val="1"/>
    </font>
    <font>
      <sz val="15"/>
      <name val="DilleniaUPC"/>
      <family val="1"/>
    </font>
    <font>
      <sz val="16"/>
      <name val="Cordia New"/>
      <family val="0"/>
    </font>
    <font>
      <sz val="10"/>
      <name val="Arial"/>
      <family val="0"/>
    </font>
    <font>
      <sz val="8"/>
      <name val="Arial"/>
      <family val="0"/>
    </font>
    <font>
      <b/>
      <sz val="13"/>
      <name val="Cordia New"/>
      <family val="2"/>
    </font>
    <font>
      <sz val="13"/>
      <name val="Cordia New"/>
      <family val="2"/>
    </font>
    <font>
      <b/>
      <u val="single"/>
      <sz val="13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9" fontId="0" fillId="0" borderId="0" applyFont="0" applyFill="0" applyBorder="0" applyAlignment="0" applyProtection="0"/>
    <xf numFmtId="0" fontId="58" fillId="21" borderId="0" applyNumberFormat="0" applyBorder="0" applyAlignment="0" applyProtection="0"/>
    <xf numFmtId="0" fontId="59" fillId="22" borderId="3" applyNumberFormat="0" applyAlignment="0" applyProtection="0"/>
    <xf numFmtId="0" fontId="60" fillId="22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29" fillId="0" borderId="0">
      <alignment/>
      <protection/>
    </xf>
    <xf numFmtId="0" fontId="65" fillId="24" borderId="4" applyNumberFormat="0" applyAlignment="0" applyProtection="0"/>
    <xf numFmtId="0" fontId="66" fillId="25" borderId="0" applyNumberFormat="0" applyBorder="0" applyAlignment="0" applyProtection="0"/>
    <xf numFmtId="0" fontId="67" fillId="0" borderId="5" applyNumberFormat="0" applyFill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94" fontId="0" fillId="0" borderId="0" xfId="35" applyFont="1" applyAlignment="1">
      <alignment/>
    </xf>
    <xf numFmtId="194" fontId="0" fillId="0" borderId="0" xfId="35" applyFont="1" applyAlignment="1">
      <alignment/>
    </xf>
    <xf numFmtId="194" fontId="0" fillId="0" borderId="10" xfId="35" applyFont="1" applyBorder="1" applyAlignment="1">
      <alignment horizontal="center"/>
    </xf>
    <xf numFmtId="194" fontId="0" fillId="0" borderId="11" xfId="35" applyFont="1" applyBorder="1" applyAlignment="1">
      <alignment/>
    </xf>
    <xf numFmtId="0" fontId="0" fillId="0" borderId="11" xfId="0" applyBorder="1" applyAlignment="1">
      <alignment/>
    </xf>
    <xf numFmtId="194" fontId="0" fillId="0" borderId="12" xfId="35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94" fontId="0" fillId="0" borderId="0" xfId="35" applyFont="1" applyFill="1" applyAlignment="1">
      <alignment/>
    </xf>
    <xf numFmtId="0" fontId="0" fillId="0" borderId="11" xfId="0" applyFont="1" applyBorder="1" applyAlignment="1">
      <alignment/>
    </xf>
    <xf numFmtId="194" fontId="0" fillId="0" borderId="11" xfId="35" applyFont="1" applyBorder="1" applyAlignment="1">
      <alignment/>
    </xf>
    <xf numFmtId="194" fontId="1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94" fontId="9" fillId="0" borderId="14" xfId="35" applyFont="1" applyFill="1" applyBorder="1" applyAlignment="1">
      <alignment/>
    </xf>
    <xf numFmtId="194" fontId="9" fillId="0" borderId="14" xfId="35" applyFont="1" applyBorder="1" applyAlignment="1">
      <alignment/>
    </xf>
    <xf numFmtId="194" fontId="9" fillId="33" borderId="14" xfId="35" applyFont="1" applyFill="1" applyBorder="1" applyAlignment="1">
      <alignment/>
    </xf>
    <xf numFmtId="194" fontId="9" fillId="0" borderId="15" xfId="35" applyFont="1" applyBorder="1" applyAlignment="1">
      <alignment/>
    </xf>
    <xf numFmtId="0" fontId="9" fillId="0" borderId="13" xfId="0" applyFont="1" applyBorder="1" applyAlignment="1">
      <alignment/>
    </xf>
    <xf numFmtId="194" fontId="9" fillId="0" borderId="16" xfId="35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194" fontId="9" fillId="0" borderId="16" xfId="35" applyFont="1" applyFill="1" applyBorder="1" applyAlignment="1">
      <alignment/>
    </xf>
    <xf numFmtId="194" fontId="9" fillId="33" borderId="16" xfId="35" applyFont="1" applyFill="1" applyBorder="1" applyAlignment="1">
      <alignment/>
    </xf>
    <xf numFmtId="0" fontId="8" fillId="0" borderId="17" xfId="0" applyFont="1" applyBorder="1" applyAlignment="1">
      <alignment horizontal="center"/>
    </xf>
    <xf numFmtId="194" fontId="8" fillId="0" borderId="17" xfId="35" applyFont="1" applyFill="1" applyBorder="1" applyAlignment="1">
      <alignment/>
    </xf>
    <xf numFmtId="194" fontId="8" fillId="0" borderId="17" xfId="35" applyFont="1" applyBorder="1" applyAlignment="1">
      <alignment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94" fontId="9" fillId="0" borderId="18" xfId="35" applyFont="1" applyFill="1" applyBorder="1" applyAlignment="1">
      <alignment/>
    </xf>
    <xf numFmtId="194" fontId="9" fillId="0" borderId="18" xfId="35" applyFont="1" applyBorder="1" applyAlignment="1">
      <alignment/>
    </xf>
    <xf numFmtId="194" fontId="9" fillId="33" borderId="18" xfId="35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194" fontId="9" fillId="0" borderId="15" xfId="35" applyFont="1" applyFill="1" applyBorder="1" applyAlignment="1">
      <alignment/>
    </xf>
    <xf numFmtId="194" fontId="9" fillId="33" borderId="15" xfId="35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194" fontId="9" fillId="0" borderId="19" xfId="35" applyFont="1" applyFill="1" applyBorder="1" applyAlignment="1">
      <alignment/>
    </xf>
    <xf numFmtId="194" fontId="9" fillId="0" borderId="19" xfId="35" applyFont="1" applyBorder="1" applyAlignment="1">
      <alignment/>
    </xf>
    <xf numFmtId="194" fontId="9" fillId="33" borderId="19" xfId="35" applyFont="1" applyFill="1" applyBorder="1" applyAlignment="1">
      <alignment/>
    </xf>
    <xf numFmtId="194" fontId="9" fillId="0" borderId="20" xfId="35" applyFont="1" applyBorder="1" applyAlignment="1">
      <alignment/>
    </xf>
    <xf numFmtId="17" fontId="9" fillId="0" borderId="15" xfId="0" applyNumberFormat="1" applyFont="1" applyBorder="1" applyAlignment="1">
      <alignment horizontal="center"/>
    </xf>
    <xf numFmtId="194" fontId="9" fillId="0" borderId="0" xfId="35" applyFont="1" applyAlignment="1">
      <alignment/>
    </xf>
    <xf numFmtId="0" fontId="8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94" fontId="9" fillId="0" borderId="17" xfId="35" applyFont="1" applyFill="1" applyBorder="1" applyAlignment="1">
      <alignment/>
    </xf>
    <xf numFmtId="0" fontId="9" fillId="0" borderId="19" xfId="0" applyFont="1" applyBorder="1" applyAlignment="1">
      <alignment/>
    </xf>
    <xf numFmtId="194" fontId="8" fillId="0" borderId="0" xfId="35" applyFont="1" applyBorder="1" applyAlignment="1">
      <alignment/>
    </xf>
    <xf numFmtId="0" fontId="9" fillId="0" borderId="15" xfId="0" applyFont="1" applyBorder="1" applyAlignment="1">
      <alignment/>
    </xf>
    <xf numFmtId="194" fontId="9" fillId="0" borderId="0" xfId="35" applyFont="1" applyFill="1" applyAlignment="1">
      <alignment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94" fontId="8" fillId="0" borderId="12" xfId="35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94" fontId="9" fillId="33" borderId="0" xfId="35" applyFont="1" applyFill="1" applyAlignment="1">
      <alignment/>
    </xf>
    <xf numFmtId="194" fontId="9" fillId="33" borderId="21" xfId="35" applyFont="1" applyFill="1" applyBorder="1" applyAlignment="1">
      <alignment/>
    </xf>
    <xf numFmtId="194" fontId="8" fillId="0" borderId="0" xfId="35" applyFont="1" applyFill="1" applyBorder="1" applyAlignment="1">
      <alignment/>
    </xf>
    <xf numFmtId="0" fontId="8" fillId="0" borderId="0" xfId="0" applyFont="1" applyAlignment="1">
      <alignment/>
    </xf>
    <xf numFmtId="194" fontId="9" fillId="0" borderId="0" xfId="35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94" fontId="9" fillId="0" borderId="17" xfId="35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94" fontId="9" fillId="0" borderId="11" xfId="35" applyFont="1" applyBorder="1" applyAlignment="1">
      <alignment/>
    </xf>
    <xf numFmtId="194" fontId="9" fillId="0" borderId="12" xfId="35" applyFont="1" applyBorder="1" applyAlignment="1">
      <alignment/>
    </xf>
    <xf numFmtId="194" fontId="0" fillId="0" borderId="18" xfId="35" applyFont="1" applyFill="1" applyBorder="1" applyAlignment="1">
      <alignment/>
    </xf>
    <xf numFmtId="194" fontId="0" fillId="0" borderId="15" xfId="35" applyFont="1" applyFill="1" applyBorder="1" applyAlignment="1">
      <alignment/>
    </xf>
    <xf numFmtId="194" fontId="0" fillId="0" borderId="22" xfId="35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94" fontId="9" fillId="0" borderId="0" xfId="35" applyFont="1" applyAlignment="1">
      <alignment horizontal="center"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94" fontId="9" fillId="0" borderId="17" xfId="35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194" fontId="9" fillId="0" borderId="24" xfId="35" applyFont="1" applyBorder="1" applyAlignment="1">
      <alignment/>
    </xf>
    <xf numFmtId="49" fontId="9" fillId="0" borderId="0" xfId="0" applyNumberFormat="1" applyFont="1" applyAlignment="1">
      <alignment horizontal="center"/>
    </xf>
    <xf numFmtId="194" fontId="9" fillId="0" borderId="0" xfId="35" applyFont="1" applyAlignment="1" applyProtection="1">
      <alignment horizontal="right"/>
      <protection locked="0"/>
    </xf>
    <xf numFmtId="194" fontId="9" fillId="0" borderId="0" xfId="35" applyFont="1" applyFill="1" applyAlignment="1" applyProtection="1">
      <alignment/>
      <protection locked="0"/>
    </xf>
    <xf numFmtId="194" fontId="8" fillId="0" borderId="25" xfId="35" applyFont="1" applyBorder="1" applyAlignment="1">
      <alignment/>
    </xf>
    <xf numFmtId="194" fontId="9" fillId="0" borderId="0" xfId="0" applyNumberFormat="1" applyFont="1" applyAlignment="1">
      <alignment/>
    </xf>
    <xf numFmtId="194" fontId="12" fillId="0" borderId="0" xfId="35" applyFont="1" applyAlignment="1">
      <alignment/>
    </xf>
    <xf numFmtId="0" fontId="9" fillId="33" borderId="0" xfId="0" applyFont="1" applyFill="1" applyAlignment="1">
      <alignment/>
    </xf>
    <xf numFmtId="194" fontId="9" fillId="33" borderId="0" xfId="35" applyFont="1" applyFill="1" applyAlignment="1">
      <alignment horizontal="center"/>
    </xf>
    <xf numFmtId="194" fontId="9" fillId="0" borderId="0" xfId="35" applyFont="1" applyFill="1" applyBorder="1" applyAlignment="1">
      <alignment/>
    </xf>
    <xf numFmtId="194" fontId="9" fillId="0" borderId="0" xfId="35" applyFont="1" applyAlignment="1">
      <alignment/>
    </xf>
    <xf numFmtId="0" fontId="8" fillId="0" borderId="0" xfId="0" applyFont="1" applyAlignment="1">
      <alignment/>
    </xf>
    <xf numFmtId="194" fontId="9" fillId="0" borderId="0" xfId="35" applyFont="1" applyBorder="1" applyAlignment="1">
      <alignment horizontal="center"/>
    </xf>
    <xf numFmtId="4" fontId="9" fillId="0" borderId="0" xfId="35" applyNumberFormat="1" applyFont="1" applyAlignment="1">
      <alignment/>
    </xf>
    <xf numFmtId="194" fontId="9" fillId="33" borderId="0" xfId="35" applyFont="1" applyFill="1" applyBorder="1" applyAlignment="1">
      <alignment/>
    </xf>
    <xf numFmtId="4" fontId="9" fillId="0" borderId="0" xfId="0" applyNumberFormat="1" applyFont="1" applyBorder="1" applyAlignment="1">
      <alignment/>
    </xf>
    <xf numFmtId="194" fontId="9" fillId="0" borderId="0" xfId="0" applyNumberFormat="1" applyFont="1" applyFill="1" applyBorder="1" applyAlignment="1">
      <alignment horizontal="center"/>
    </xf>
    <xf numFmtId="194" fontId="8" fillId="0" borderId="25" xfId="35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94" fontId="8" fillId="0" borderId="25" xfId="35" applyFont="1" applyFill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194" fontId="0" fillId="0" borderId="23" xfId="35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94" fontId="1" fillId="0" borderId="11" xfId="35" applyFont="1" applyBorder="1" applyAlignment="1">
      <alignment/>
    </xf>
    <xf numFmtId="194" fontId="1" fillId="0" borderId="23" xfId="35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194" fontId="0" fillId="0" borderId="23" xfId="0" applyNumberFormat="1" applyFont="1" applyBorder="1" applyAlignment="1">
      <alignment/>
    </xf>
    <xf numFmtId="0" fontId="8" fillId="0" borderId="21" xfId="0" applyFont="1" applyBorder="1" applyAlignment="1">
      <alignment/>
    </xf>
    <xf numFmtId="194" fontId="10" fillId="33" borderId="17" xfId="35" applyFont="1" applyFill="1" applyBorder="1" applyAlignment="1">
      <alignment horizontal="center"/>
    </xf>
    <xf numFmtId="212" fontId="9" fillId="0" borderId="14" xfId="0" applyNumberFormat="1" applyFont="1" applyBorder="1" applyAlignment="1">
      <alignment/>
    </xf>
    <xf numFmtId="212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194" fontId="9" fillId="0" borderId="11" xfId="35" applyFont="1" applyFill="1" applyBorder="1" applyAlignment="1">
      <alignment/>
    </xf>
    <xf numFmtId="194" fontId="9" fillId="33" borderId="11" xfId="35" applyFont="1" applyFill="1" applyBorder="1" applyAlignment="1">
      <alignment/>
    </xf>
    <xf numFmtId="212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212" fontId="8" fillId="0" borderId="17" xfId="0" applyNumberFormat="1" applyFont="1" applyBorder="1" applyAlignment="1">
      <alignment/>
    </xf>
    <xf numFmtId="212" fontId="9" fillId="0" borderId="18" xfId="0" applyNumberFormat="1" applyFont="1" applyBorder="1" applyAlignment="1">
      <alignment/>
    </xf>
    <xf numFmtId="212" fontId="9" fillId="0" borderId="15" xfId="0" applyNumberFormat="1" applyFont="1" applyBorder="1" applyAlignment="1">
      <alignment/>
    </xf>
    <xf numFmtId="212" fontId="9" fillId="0" borderId="19" xfId="0" applyNumberFormat="1" applyFont="1" applyBorder="1" applyAlignment="1">
      <alignment/>
    </xf>
    <xf numFmtId="194" fontId="9" fillId="0" borderId="30" xfId="35" applyFont="1" applyBorder="1" applyAlignment="1">
      <alignment/>
    </xf>
    <xf numFmtId="194" fontId="9" fillId="0" borderId="31" xfId="35" applyFont="1" applyBorder="1" applyAlignment="1">
      <alignment/>
    </xf>
    <xf numFmtId="212" fontId="9" fillId="0" borderId="17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12" fontId="8" fillId="0" borderId="14" xfId="0" applyNumberFormat="1" applyFont="1" applyBorder="1" applyAlignment="1">
      <alignment/>
    </xf>
    <xf numFmtId="212" fontId="9" fillId="0" borderId="12" xfId="0" applyNumberFormat="1" applyFont="1" applyBorder="1" applyAlignment="1">
      <alignment/>
    </xf>
    <xf numFmtId="212" fontId="9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194" fontId="14" fillId="0" borderId="22" xfId="35" applyFont="1" applyBorder="1" applyAlignment="1">
      <alignment horizontal="center"/>
    </xf>
    <xf numFmtId="194" fontId="14" fillId="0" borderId="22" xfId="35" applyFont="1" applyFill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1" xfId="0" applyFont="1" applyBorder="1" applyAlignment="1">
      <alignment/>
    </xf>
    <xf numFmtId="194" fontId="14" fillId="0" borderId="10" xfId="35" applyFont="1" applyBorder="1" applyAlignment="1">
      <alignment horizontal="center"/>
    </xf>
    <xf numFmtId="194" fontId="14" fillId="0" borderId="10" xfId="35" applyFont="1" applyFill="1" applyBorder="1" applyAlignment="1">
      <alignment horizontal="center"/>
    </xf>
    <xf numFmtId="0" fontId="14" fillId="0" borderId="13" xfId="0" applyFont="1" applyBorder="1" applyAlignment="1">
      <alignment/>
    </xf>
    <xf numFmtId="194" fontId="14" fillId="0" borderId="11" xfId="35" applyFont="1" applyBorder="1" applyAlignment="1">
      <alignment/>
    </xf>
    <xf numFmtId="194" fontId="14" fillId="0" borderId="11" xfId="35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/>
    </xf>
    <xf numFmtId="194" fontId="16" fillId="0" borderId="12" xfId="35" applyFont="1" applyBorder="1" applyAlignment="1">
      <alignment/>
    </xf>
    <xf numFmtId="194" fontId="16" fillId="0" borderId="12" xfId="35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0" xfId="0" applyFont="1" applyBorder="1" applyAlignment="1">
      <alignment/>
    </xf>
    <xf numFmtId="194" fontId="14" fillId="0" borderId="0" xfId="35" applyFont="1" applyAlignment="1">
      <alignment/>
    </xf>
    <xf numFmtId="194" fontId="14" fillId="0" borderId="0" xfId="35" applyFont="1" applyFill="1" applyAlignment="1">
      <alignment/>
    </xf>
    <xf numFmtId="194" fontId="14" fillId="0" borderId="21" xfId="35" applyFont="1" applyFill="1" applyBorder="1" applyAlignment="1">
      <alignment/>
    </xf>
    <xf numFmtId="194" fontId="14" fillId="0" borderId="21" xfId="35" applyFont="1" applyBorder="1" applyAlignment="1">
      <alignment/>
    </xf>
    <xf numFmtId="0" fontId="9" fillId="0" borderId="0" xfId="0" applyFont="1" applyAlignment="1">
      <alignment horizontal="right"/>
    </xf>
    <xf numFmtId="4" fontId="9" fillId="0" borderId="17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4" fontId="16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3" xfId="0" applyFont="1" applyBorder="1" applyAlignment="1">
      <alignment/>
    </xf>
    <xf numFmtId="194" fontId="8" fillId="0" borderId="11" xfId="35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8" xfId="0" applyFont="1" applyBorder="1" applyAlignment="1">
      <alignment/>
    </xf>
    <xf numFmtId="194" fontId="8" fillId="0" borderId="12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94" fontId="1" fillId="0" borderId="17" xfId="35" applyFont="1" applyBorder="1" applyAlignment="1">
      <alignment horizontal="center" vertical="center" wrapText="1"/>
    </xf>
    <xf numFmtId="194" fontId="1" fillId="0" borderId="36" xfId="35" applyFont="1" applyBorder="1" applyAlignment="1">
      <alignment/>
    </xf>
    <xf numFmtId="194" fontId="1" fillId="0" borderId="37" xfId="35" applyFont="1" applyBorder="1" applyAlignment="1">
      <alignment/>
    </xf>
    <xf numFmtId="194" fontId="1" fillId="0" borderId="38" xfId="35" applyFont="1" applyBorder="1" applyAlignment="1">
      <alignment/>
    </xf>
    <xf numFmtId="194" fontId="1" fillId="0" borderId="39" xfId="35" applyFont="1" applyBorder="1" applyAlignment="1">
      <alignment horizontal="center"/>
    </xf>
    <xf numFmtId="194" fontId="1" fillId="0" borderId="17" xfId="35" applyFont="1" applyBorder="1" applyAlignment="1">
      <alignment/>
    </xf>
    <xf numFmtId="194" fontId="0" fillId="0" borderId="40" xfId="35" applyFont="1" applyBorder="1" applyAlignment="1">
      <alignment/>
    </xf>
    <xf numFmtId="194" fontId="0" fillId="0" borderId="41" xfId="35" applyFont="1" applyBorder="1" applyAlignment="1">
      <alignment horizontal="left"/>
    </xf>
    <xf numFmtId="194" fontId="0" fillId="0" borderId="40" xfId="35" applyFont="1" applyBorder="1" applyAlignment="1">
      <alignment horizontal="left"/>
    </xf>
    <xf numFmtId="194" fontId="0" fillId="0" borderId="14" xfId="35" applyFont="1" applyBorder="1" applyAlignment="1">
      <alignment horizontal="left"/>
    </xf>
    <xf numFmtId="194" fontId="0" fillId="0" borderId="15" xfId="35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4" fontId="0" fillId="0" borderId="42" xfId="35" applyFont="1" applyBorder="1" applyAlignment="1">
      <alignment horizontal="left"/>
    </xf>
    <xf numFmtId="194" fontId="0" fillId="0" borderId="43" xfId="35" applyFont="1" applyBorder="1" applyAlignment="1">
      <alignment horizontal="left"/>
    </xf>
    <xf numFmtId="194" fontId="1" fillId="0" borderId="44" xfId="35" applyFont="1" applyBorder="1" applyAlignment="1">
      <alignment/>
    </xf>
    <xf numFmtId="194" fontId="1" fillId="0" borderId="45" xfId="35" applyFont="1" applyBorder="1" applyAlignment="1">
      <alignment/>
    </xf>
    <xf numFmtId="194" fontId="1" fillId="0" borderId="14" xfId="35" applyFont="1" applyBorder="1" applyAlignment="1">
      <alignment/>
    </xf>
    <xf numFmtId="194" fontId="1" fillId="0" borderId="46" xfId="35" applyFont="1" applyBorder="1" applyAlignment="1">
      <alignment/>
    </xf>
    <xf numFmtId="194" fontId="1" fillId="0" borderId="47" xfId="35" applyFont="1" applyBorder="1" applyAlignment="1">
      <alignment/>
    </xf>
    <xf numFmtId="194" fontId="1" fillId="0" borderId="12" xfId="35" applyFont="1" applyBorder="1" applyAlignment="1">
      <alignment/>
    </xf>
    <xf numFmtId="194" fontId="0" fillId="0" borderId="25" xfId="35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94" fontId="0" fillId="0" borderId="21" xfId="35" applyFont="1" applyBorder="1" applyAlignment="1">
      <alignment/>
    </xf>
    <xf numFmtId="0" fontId="0" fillId="0" borderId="0" xfId="0" applyAlignment="1">
      <alignment horizontal="right"/>
    </xf>
    <xf numFmtId="194" fontId="0" fillId="0" borderId="0" xfId="35" applyFont="1" applyAlignment="1">
      <alignment horizontal="center"/>
    </xf>
    <xf numFmtId="0" fontId="0" fillId="0" borderId="17" xfId="0" applyBorder="1" applyAlignment="1">
      <alignment horizontal="center"/>
    </xf>
    <xf numFmtId="194" fontId="0" fillId="0" borderId="17" xfId="35" applyFont="1" applyBorder="1" applyAlignment="1">
      <alignment horizontal="center"/>
    </xf>
    <xf numFmtId="194" fontId="0" fillId="0" borderId="22" xfId="35" applyFont="1" applyBorder="1" applyAlignment="1">
      <alignment/>
    </xf>
    <xf numFmtId="0" fontId="0" fillId="0" borderId="22" xfId="0" applyBorder="1" applyAlignment="1">
      <alignment/>
    </xf>
    <xf numFmtId="4" fontId="8" fillId="0" borderId="12" xfId="0" applyNumberFormat="1" applyFont="1" applyBorder="1" applyAlignment="1">
      <alignment/>
    </xf>
    <xf numFmtId="194" fontId="9" fillId="0" borderId="22" xfId="35" applyFont="1" applyBorder="1" applyAlignment="1">
      <alignment/>
    </xf>
    <xf numFmtId="0" fontId="9" fillId="0" borderId="21" xfId="0" applyFont="1" applyBorder="1" applyAlignment="1">
      <alignment/>
    </xf>
    <xf numFmtId="194" fontId="9" fillId="0" borderId="11" xfId="0" applyNumberFormat="1" applyFont="1" applyBorder="1" applyAlignment="1">
      <alignment/>
    </xf>
    <xf numFmtId="194" fontId="0" fillId="0" borderId="0" xfId="35" applyFont="1" applyFill="1" applyAlignment="1">
      <alignment/>
    </xf>
    <xf numFmtId="0" fontId="0" fillId="0" borderId="0" xfId="0" applyFont="1" applyAlignment="1">
      <alignment horizontal="center"/>
    </xf>
    <xf numFmtId="194" fontId="0" fillId="0" borderId="0" xfId="0" applyNumberFormat="1" applyAlignment="1">
      <alignment/>
    </xf>
    <xf numFmtId="194" fontId="0" fillId="0" borderId="0" xfId="35" applyFont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0" fillId="0" borderId="48" xfId="0" applyNumberFormat="1" applyFont="1" applyFill="1" applyBorder="1" applyAlignment="1">
      <alignment horizontal="center"/>
    </xf>
    <xf numFmtId="194" fontId="0" fillId="0" borderId="48" xfId="35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194" fontId="0" fillId="0" borderId="16" xfId="35" applyFont="1" applyFill="1" applyBorder="1" applyAlignment="1">
      <alignment/>
    </xf>
    <xf numFmtId="49" fontId="0" fillId="0" borderId="48" xfId="35" applyNumberFormat="1" applyFont="1" applyFill="1" applyBorder="1" applyAlignment="1">
      <alignment/>
    </xf>
    <xf numFmtId="49" fontId="0" fillId="0" borderId="48" xfId="35" applyNumberFormat="1" applyFont="1" applyFill="1" applyBorder="1" applyAlignment="1">
      <alignment horizontal="center"/>
    </xf>
    <xf numFmtId="49" fontId="0" fillId="0" borderId="15" xfId="35" applyNumberFormat="1" applyFont="1" applyFill="1" applyBorder="1" applyAlignment="1">
      <alignment/>
    </xf>
    <xf numFmtId="49" fontId="0" fillId="0" borderId="15" xfId="35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3" xfId="0" applyBorder="1" applyAlignment="1">
      <alignment/>
    </xf>
    <xf numFmtId="194" fontId="0" fillId="0" borderId="17" xfId="0" applyNumberFormat="1" applyBorder="1" applyAlignment="1">
      <alignment/>
    </xf>
    <xf numFmtId="0" fontId="24" fillId="0" borderId="0" xfId="0" applyFont="1" applyBorder="1" applyAlignment="1">
      <alignment/>
    </xf>
    <xf numFmtId="194" fontId="1" fillId="0" borderId="12" xfId="35" applyFont="1" applyFill="1" applyBorder="1" applyAlignment="1">
      <alignment/>
    </xf>
    <xf numFmtId="194" fontId="1" fillId="0" borderId="17" xfId="0" applyNumberFormat="1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94" fontId="0" fillId="0" borderId="19" xfId="35" applyFont="1" applyFill="1" applyBorder="1" applyAlignment="1">
      <alignment/>
    </xf>
    <xf numFmtId="194" fontId="1" fillId="0" borderId="0" xfId="35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94" fontId="1" fillId="0" borderId="15" xfId="35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94" fontId="0" fillId="0" borderId="14" xfId="35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94" fontId="0" fillId="0" borderId="10" xfId="35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194" fontId="0" fillId="0" borderId="14" xfId="35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94" fontId="0" fillId="0" borderId="11" xfId="35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6" fillId="0" borderId="17" xfId="0" applyFont="1" applyBorder="1" applyAlignment="1">
      <alignment horizontal="center" vertical="center" wrapText="1" shrinkToFit="1"/>
    </xf>
    <xf numFmtId="213" fontId="1" fillId="0" borderId="17" xfId="0" applyNumberFormat="1" applyFont="1" applyBorder="1" applyAlignment="1">
      <alignment/>
    </xf>
    <xf numFmtId="194" fontId="0" fillId="0" borderId="44" xfId="35" applyFont="1" applyBorder="1" applyAlignment="1">
      <alignment horizontal="left"/>
    </xf>
    <xf numFmtId="194" fontId="0" fillId="0" borderId="45" xfId="35" applyFont="1" applyBorder="1" applyAlignment="1">
      <alignment horizontal="left"/>
    </xf>
    <xf numFmtId="194" fontId="1" fillId="0" borderId="41" xfId="35" applyFont="1" applyBorder="1" applyAlignment="1">
      <alignment/>
    </xf>
    <xf numFmtId="194" fontId="1" fillId="0" borderId="15" xfId="35" applyFont="1" applyBorder="1" applyAlignment="1">
      <alignment/>
    </xf>
    <xf numFmtId="194" fontId="1" fillId="0" borderId="40" xfId="35" applyFont="1" applyBorder="1" applyAlignment="1">
      <alignment/>
    </xf>
    <xf numFmtId="213" fontId="9" fillId="0" borderId="21" xfId="3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94" fontId="9" fillId="0" borderId="0" xfId="35" applyFont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16" fontId="9" fillId="0" borderId="15" xfId="0" applyNumberFormat="1" applyFont="1" applyBorder="1" applyAlignment="1">
      <alignment/>
    </xf>
    <xf numFmtId="194" fontId="9" fillId="0" borderId="15" xfId="35" applyFont="1" applyBorder="1" applyAlignment="1">
      <alignment/>
    </xf>
    <xf numFmtId="213" fontId="9" fillId="0" borderId="15" xfId="35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194" fontId="9" fillId="0" borderId="14" xfId="35" applyFont="1" applyBorder="1" applyAlignment="1">
      <alignment/>
    </xf>
    <xf numFmtId="0" fontId="11" fillId="0" borderId="0" xfId="0" applyFont="1" applyAlignment="1">
      <alignment horizontal="left"/>
    </xf>
    <xf numFmtId="194" fontId="9" fillId="0" borderId="25" xfId="35" applyFont="1" applyBorder="1" applyAlignment="1">
      <alignment/>
    </xf>
    <xf numFmtId="17" fontId="9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213" fontId="9" fillId="0" borderId="16" xfId="35" applyNumberFormat="1" applyFont="1" applyBorder="1" applyAlignment="1">
      <alignment/>
    </xf>
    <xf numFmtId="0" fontId="9" fillId="0" borderId="0" xfId="0" applyFont="1" applyAlignment="1">
      <alignment/>
    </xf>
    <xf numFmtId="194" fontId="9" fillId="0" borderId="12" xfId="35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11" xfId="0" applyFont="1" applyBorder="1" applyAlignment="1">
      <alignment vertical="center" shrinkToFit="1"/>
    </xf>
    <xf numFmtId="194" fontId="9" fillId="0" borderId="23" xfId="35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194" fontId="9" fillId="0" borderId="11" xfId="0" applyNumberFormat="1" applyFont="1" applyBorder="1" applyAlignment="1">
      <alignment horizontal="center" vertical="center"/>
    </xf>
    <xf numFmtId="194" fontId="9" fillId="0" borderId="11" xfId="35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194" fontId="9" fillId="0" borderId="10" xfId="35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194" fontId="0" fillId="0" borderId="45" xfId="35" applyFont="1" applyBorder="1" applyAlignment="1">
      <alignment/>
    </xf>
    <xf numFmtId="194" fontId="0" fillId="0" borderId="49" xfId="35" applyFont="1" applyBorder="1" applyAlignment="1">
      <alignment/>
    </xf>
    <xf numFmtId="194" fontId="0" fillId="0" borderId="49" xfId="35" applyFont="1" applyFill="1" applyBorder="1" applyAlignment="1">
      <alignment/>
    </xf>
    <xf numFmtId="0" fontId="0" fillId="0" borderId="0" xfId="0" applyFill="1" applyBorder="1" applyAlignment="1">
      <alignment/>
    </xf>
    <xf numFmtId="194" fontId="1" fillId="0" borderId="17" xfId="35" applyFont="1" applyFill="1" applyBorder="1" applyAlignment="1">
      <alignment/>
    </xf>
    <xf numFmtId="194" fontId="0" fillId="0" borderId="50" xfId="35" applyFont="1" applyBorder="1" applyAlignment="1">
      <alignment/>
    </xf>
    <xf numFmtId="194" fontId="0" fillId="0" borderId="51" xfId="35" applyFont="1" applyBorder="1" applyAlignment="1">
      <alignment/>
    </xf>
    <xf numFmtId="194" fontId="0" fillId="0" borderId="52" xfId="35" applyFont="1" applyBorder="1" applyAlignment="1">
      <alignment/>
    </xf>
    <xf numFmtId="194" fontId="0" fillId="0" borderId="53" xfId="35" applyFont="1" applyBorder="1" applyAlignment="1">
      <alignment horizontal="left"/>
    </xf>
    <xf numFmtId="194" fontId="0" fillId="0" borderId="54" xfId="35" applyFont="1" applyBorder="1" applyAlignment="1">
      <alignment horizontal="left"/>
    </xf>
    <xf numFmtId="194" fontId="0" fillId="0" borderId="0" xfId="35" applyFont="1" applyFill="1" applyAlignment="1">
      <alignment horizontal="center"/>
    </xf>
    <xf numFmtId="194" fontId="0" fillId="0" borderId="25" xfId="35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16" fontId="9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194" fontId="1" fillId="0" borderId="48" xfId="35" applyFont="1" applyFill="1" applyBorder="1" applyAlignment="1">
      <alignment/>
    </xf>
    <xf numFmtId="194" fontId="1" fillId="0" borderId="55" xfId="35" applyFont="1" applyFill="1" applyBorder="1" applyAlignment="1">
      <alignment/>
    </xf>
    <xf numFmtId="194" fontId="1" fillId="0" borderId="17" xfId="35" applyFont="1" applyFill="1" applyBorder="1" applyAlignment="1">
      <alignment horizontal="center" vertical="center" wrapText="1" shrinkToFit="1"/>
    </xf>
    <xf numFmtId="194" fontId="1" fillId="0" borderId="17" xfId="35" applyFont="1" applyFill="1" applyBorder="1" applyAlignment="1">
      <alignment horizontal="center" vertical="center" wrapText="1"/>
    </xf>
    <xf numFmtId="194" fontId="0" fillId="0" borderId="45" xfId="35" applyFont="1" applyBorder="1" applyAlignment="1">
      <alignment/>
    </xf>
    <xf numFmtId="194" fontId="0" fillId="0" borderId="56" xfId="35" applyFont="1" applyBorder="1" applyAlignment="1">
      <alignment/>
    </xf>
    <xf numFmtId="194" fontId="0" fillId="0" borderId="14" xfId="35" applyFont="1" applyBorder="1" applyAlignment="1">
      <alignment/>
    </xf>
    <xf numFmtId="0" fontId="0" fillId="0" borderId="14" xfId="0" applyBorder="1" applyAlignment="1">
      <alignment/>
    </xf>
    <xf numFmtId="194" fontId="0" fillId="0" borderId="18" xfId="35" applyFont="1" applyBorder="1" applyAlignment="1">
      <alignment/>
    </xf>
    <xf numFmtId="194" fontId="0" fillId="0" borderId="41" xfId="35" applyFont="1" applyBorder="1" applyAlignment="1">
      <alignment/>
    </xf>
    <xf numFmtId="194" fontId="0" fillId="0" borderId="40" xfId="35" applyFont="1" applyBorder="1" applyAlignment="1">
      <alignment/>
    </xf>
    <xf numFmtId="194" fontId="0" fillId="0" borderId="49" xfId="35" applyFont="1" applyBorder="1" applyAlignment="1">
      <alignment/>
    </xf>
    <xf numFmtId="194" fontId="0" fillId="0" borderId="15" xfId="35" applyFont="1" applyBorder="1" applyAlignment="1">
      <alignment/>
    </xf>
    <xf numFmtId="194" fontId="0" fillId="0" borderId="15" xfId="0" applyNumberFormat="1" applyBorder="1" applyAlignment="1">
      <alignment/>
    </xf>
    <xf numFmtId="213" fontId="0" fillId="0" borderId="15" xfId="0" applyNumberFormat="1" applyBorder="1" applyAlignment="1">
      <alignment/>
    </xf>
    <xf numFmtId="194" fontId="0" fillId="0" borderId="42" xfId="35" applyFont="1" applyBorder="1" applyAlignment="1">
      <alignment/>
    </xf>
    <xf numFmtId="194" fontId="0" fillId="0" borderId="43" xfId="35" applyFont="1" applyBorder="1" applyAlignment="1">
      <alignment/>
    </xf>
    <xf numFmtId="194" fontId="0" fillId="0" borderId="57" xfId="35" applyFont="1" applyBorder="1" applyAlignment="1">
      <alignment/>
    </xf>
    <xf numFmtId="194" fontId="0" fillId="0" borderId="19" xfId="35" applyFont="1" applyBorder="1" applyAlignment="1">
      <alignment/>
    </xf>
    <xf numFmtId="194" fontId="0" fillId="0" borderId="16" xfId="35" applyFont="1" applyBorder="1" applyAlignment="1">
      <alignment/>
    </xf>
    <xf numFmtId="213" fontId="1" fillId="0" borderId="17" xfId="35" applyNumberFormat="1" applyFont="1" applyBorder="1" applyAlignment="1">
      <alignment/>
    </xf>
    <xf numFmtId="213" fontId="0" fillId="0" borderId="15" xfId="35" applyNumberFormat="1" applyFont="1" applyBorder="1" applyAlignment="1">
      <alignment/>
    </xf>
    <xf numFmtId="194" fontId="0" fillId="0" borderId="41" xfId="35" applyFont="1" applyFill="1" applyBorder="1" applyAlignment="1">
      <alignment/>
    </xf>
    <xf numFmtId="194" fontId="0" fillId="0" borderId="40" xfId="35" applyFont="1" applyFill="1" applyBorder="1" applyAlignment="1">
      <alignment/>
    </xf>
    <xf numFmtId="194" fontId="0" fillId="0" borderId="15" xfId="35" applyFont="1" applyFill="1" applyBorder="1" applyAlignment="1">
      <alignment/>
    </xf>
    <xf numFmtId="213" fontId="0" fillId="0" borderId="15" xfId="0" applyNumberFormat="1" applyFill="1" applyBorder="1" applyAlignment="1">
      <alignment/>
    </xf>
    <xf numFmtId="213" fontId="0" fillId="0" borderId="15" xfId="35" applyNumberFormat="1" applyFont="1" applyFill="1" applyBorder="1" applyAlignment="1">
      <alignment/>
    </xf>
    <xf numFmtId="194" fontId="0" fillId="0" borderId="58" xfId="35" applyFont="1" applyBorder="1" applyAlignment="1">
      <alignment/>
    </xf>
    <xf numFmtId="194" fontId="0" fillId="0" borderId="59" xfId="35" applyFont="1" applyBorder="1" applyAlignment="1">
      <alignment/>
    </xf>
    <xf numFmtId="213" fontId="0" fillId="0" borderId="16" xfId="0" applyNumberFormat="1" applyBorder="1" applyAlignment="1">
      <alignment/>
    </xf>
    <xf numFmtId="213" fontId="0" fillId="0" borderId="16" xfId="35" applyNumberFormat="1" applyFont="1" applyBorder="1" applyAlignment="1">
      <alignment/>
    </xf>
    <xf numFmtId="194" fontId="0" fillId="0" borderId="31" xfId="35" applyFont="1" applyBorder="1" applyAlignment="1">
      <alignment/>
    </xf>
    <xf numFmtId="194" fontId="0" fillId="0" borderId="60" xfId="35" applyFont="1" applyBorder="1" applyAlignment="1">
      <alignment/>
    </xf>
    <xf numFmtId="194" fontId="0" fillId="0" borderId="19" xfId="0" applyNumberFormat="1" applyBorder="1" applyAlignment="1">
      <alignment/>
    </xf>
    <xf numFmtId="0" fontId="0" fillId="0" borderId="19" xfId="35" applyNumberFormat="1" applyFont="1" applyBorder="1" applyAlignment="1">
      <alignment/>
    </xf>
    <xf numFmtId="194" fontId="0" fillId="0" borderId="61" xfId="35" applyFont="1" applyBorder="1" applyAlignment="1">
      <alignment/>
    </xf>
    <xf numFmtId="194" fontId="0" fillId="0" borderId="62" xfId="35" applyFont="1" applyBorder="1" applyAlignment="1">
      <alignment/>
    </xf>
    <xf numFmtId="194" fontId="0" fillId="0" borderId="53" xfId="35" applyFont="1" applyBorder="1" applyAlignment="1">
      <alignment/>
    </xf>
    <xf numFmtId="194" fontId="0" fillId="0" borderId="54" xfId="35" applyFont="1" applyBorder="1" applyAlignment="1">
      <alignment/>
    </xf>
    <xf numFmtId="194" fontId="0" fillId="0" borderId="52" xfId="35" applyFont="1" applyBorder="1" applyAlignment="1">
      <alignment/>
    </xf>
    <xf numFmtId="213" fontId="0" fillId="0" borderId="19" xfId="0" applyNumberFormat="1" applyBorder="1" applyAlignment="1">
      <alignment/>
    </xf>
    <xf numFmtId="194" fontId="0" fillId="0" borderId="14" xfId="0" applyNumberFormat="1" applyBorder="1" applyAlignment="1">
      <alignment/>
    </xf>
    <xf numFmtId="194" fontId="0" fillId="0" borderId="16" xfId="35" applyFont="1" applyFill="1" applyBorder="1" applyAlignment="1">
      <alignment/>
    </xf>
    <xf numFmtId="213" fontId="0" fillId="0" borderId="16" xfId="0" applyNumberFormat="1" applyFill="1" applyBorder="1" applyAlignment="1">
      <alignment/>
    </xf>
    <xf numFmtId="194" fontId="0" fillId="0" borderId="16" xfId="0" applyNumberFormat="1" applyBorder="1" applyAlignment="1">
      <alignment/>
    </xf>
    <xf numFmtId="194" fontId="0" fillId="0" borderId="44" xfId="35" applyFont="1" applyBorder="1" applyAlignment="1">
      <alignment/>
    </xf>
    <xf numFmtId="194" fontId="0" fillId="0" borderId="51" xfId="35" applyFont="1" applyBorder="1" applyAlignment="1">
      <alignment/>
    </xf>
    <xf numFmtId="194" fontId="0" fillId="0" borderId="17" xfId="35" applyFont="1" applyFill="1" applyBorder="1" applyAlignment="1">
      <alignment/>
    </xf>
    <xf numFmtId="194" fontId="0" fillId="0" borderId="17" xfId="35" applyFont="1" applyBorder="1" applyAlignment="1">
      <alignment/>
    </xf>
    <xf numFmtId="194" fontId="1" fillId="0" borderId="56" xfId="35" applyFont="1" applyBorder="1" applyAlignment="1">
      <alignment horizontal="center"/>
    </xf>
    <xf numFmtId="194" fontId="1" fillId="0" borderId="49" xfId="35" applyFont="1" applyBorder="1" applyAlignment="1">
      <alignment horizontal="center"/>
    </xf>
    <xf numFmtId="194" fontId="0" fillId="0" borderId="49" xfId="35" applyFont="1" applyBorder="1" applyAlignment="1">
      <alignment horizontal="left"/>
    </xf>
    <xf numFmtId="194" fontId="0" fillId="0" borderId="15" xfId="35" applyFont="1" applyFill="1" applyBorder="1" applyAlignment="1">
      <alignment horizontal="left"/>
    </xf>
    <xf numFmtId="194" fontId="0" fillId="0" borderId="56" xfId="35" applyFont="1" applyBorder="1" applyAlignment="1">
      <alignment horizontal="left"/>
    </xf>
    <xf numFmtId="194" fontId="0" fillId="0" borderId="14" xfId="35" applyFont="1" applyFill="1" applyBorder="1" applyAlignment="1">
      <alignment horizontal="left"/>
    </xf>
    <xf numFmtId="194" fontId="0" fillId="0" borderId="52" xfId="35" applyFont="1" applyBorder="1" applyAlignment="1">
      <alignment horizontal="left"/>
    </xf>
    <xf numFmtId="194" fontId="0" fillId="0" borderId="57" xfId="35" applyFont="1" applyBorder="1" applyAlignment="1">
      <alignment horizontal="left"/>
    </xf>
    <xf numFmtId="194" fontId="2" fillId="0" borderId="52" xfId="35" applyFont="1" applyBorder="1" applyAlignment="1">
      <alignment/>
    </xf>
    <xf numFmtId="194" fontId="0" fillId="0" borderId="30" xfId="35" applyFont="1" applyBorder="1" applyAlignment="1">
      <alignment/>
    </xf>
    <xf numFmtId="194" fontId="1" fillId="0" borderId="50" xfId="35" applyFont="1" applyBorder="1" applyAlignment="1">
      <alignment/>
    </xf>
    <xf numFmtId="194" fontId="1" fillId="0" borderId="15" xfId="35" applyFont="1" applyBorder="1" applyAlignment="1">
      <alignment horizontal="center"/>
    </xf>
    <xf numFmtId="194" fontId="0" fillId="0" borderId="63" xfId="35" applyFont="1" applyBorder="1" applyAlignment="1">
      <alignment/>
    </xf>
    <xf numFmtId="194" fontId="1" fillId="0" borderId="54" xfId="35" applyFont="1" applyBorder="1" applyAlignment="1">
      <alignment/>
    </xf>
    <xf numFmtId="194" fontId="0" fillId="0" borderId="64" xfId="35" applyFont="1" applyBorder="1" applyAlignment="1">
      <alignment/>
    </xf>
    <xf numFmtId="194" fontId="1" fillId="0" borderId="16" xfId="35" applyFont="1" applyBorder="1" applyAlignment="1">
      <alignment horizontal="center"/>
    </xf>
    <xf numFmtId="194" fontId="0" fillId="0" borderId="50" xfId="35" applyFont="1" applyBorder="1" applyAlignment="1">
      <alignment/>
    </xf>
    <xf numFmtId="194" fontId="1" fillId="0" borderId="14" xfId="35" applyFont="1" applyFill="1" applyBorder="1" applyAlignment="1">
      <alignment/>
    </xf>
    <xf numFmtId="194" fontId="1" fillId="0" borderId="65" xfId="35" applyFont="1" applyBorder="1" applyAlignment="1">
      <alignment horizontal="center"/>
    </xf>
    <xf numFmtId="213" fontId="1" fillId="0" borderId="12" xfId="0" applyNumberFormat="1" applyFont="1" applyBorder="1" applyAlignment="1">
      <alignment/>
    </xf>
    <xf numFmtId="194" fontId="0" fillId="0" borderId="0" xfId="35" applyFont="1" applyFill="1" applyBorder="1" applyAlignment="1">
      <alignment/>
    </xf>
    <xf numFmtId="0" fontId="0" fillId="0" borderId="17" xfId="0" applyFill="1" applyBorder="1" applyAlignment="1">
      <alignment horizontal="center"/>
    </xf>
    <xf numFmtId="194" fontId="0" fillId="0" borderId="17" xfId="35" applyFont="1" applyFill="1" applyBorder="1" applyAlignment="1">
      <alignment horizontal="center"/>
    </xf>
    <xf numFmtId="194" fontId="2" fillId="0" borderId="17" xfId="35" applyFont="1" applyFill="1" applyBorder="1" applyAlignment="1">
      <alignment horizontal="center"/>
    </xf>
    <xf numFmtId="194" fontId="26" fillId="0" borderId="17" xfId="35" applyFont="1" applyFill="1" applyBorder="1" applyAlignment="1">
      <alignment horizontal="center"/>
    </xf>
    <xf numFmtId="194" fontId="23" fillId="0" borderId="17" xfId="35" applyFont="1" applyFill="1" applyBorder="1" applyAlignment="1">
      <alignment horizontal="center"/>
    </xf>
    <xf numFmtId="0" fontId="0" fillId="0" borderId="17" xfId="0" applyFill="1" applyBorder="1" applyAlignment="1">
      <alignment/>
    </xf>
    <xf numFmtId="194" fontId="0" fillId="0" borderId="17" xfId="0" applyNumberForma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194" fontId="24" fillId="0" borderId="17" xfId="35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194" fontId="25" fillId="0" borderId="11" xfId="35" applyFont="1" applyFill="1" applyBorder="1" applyAlignment="1">
      <alignment/>
    </xf>
    <xf numFmtId="194" fontId="24" fillId="0" borderId="10" xfId="35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94" fontId="1" fillId="0" borderId="12" xfId="0" applyNumberFormat="1" applyFont="1" applyFill="1" applyBorder="1" applyAlignment="1">
      <alignment/>
    </xf>
    <xf numFmtId="194" fontId="1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194" fontId="1" fillId="0" borderId="11" xfId="35" applyFont="1" applyFill="1" applyBorder="1" applyAlignment="1">
      <alignment/>
    </xf>
    <xf numFmtId="194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4" fontId="1" fillId="0" borderId="10" xfId="35" applyFont="1" applyFill="1" applyBorder="1" applyAlignment="1">
      <alignment/>
    </xf>
    <xf numFmtId="194" fontId="1" fillId="0" borderId="10" xfId="0" applyNumberFormat="1" applyFont="1" applyFill="1" applyBorder="1" applyAlignment="1">
      <alignment/>
    </xf>
    <xf numFmtId="194" fontId="1" fillId="0" borderId="55" xfId="0" applyNumberFormat="1" applyFont="1" applyFill="1" applyBorder="1" applyAlignment="1">
      <alignment/>
    </xf>
    <xf numFmtId="0" fontId="0" fillId="0" borderId="66" xfId="0" applyFill="1" applyBorder="1" applyAlignment="1">
      <alignment/>
    </xf>
    <xf numFmtId="194" fontId="0" fillId="0" borderId="66" xfId="35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94" fontId="0" fillId="0" borderId="11" xfId="0" applyNumberFormat="1" applyFill="1" applyBorder="1" applyAlignment="1">
      <alignment/>
    </xf>
    <xf numFmtId="194" fontId="1" fillId="0" borderId="17" xfId="0" applyNumberFormat="1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94" fontId="0" fillId="0" borderId="66" xfId="35" applyFont="1" applyFill="1" applyBorder="1" applyAlignment="1">
      <alignment/>
    </xf>
    <xf numFmtId="194" fontId="1" fillId="0" borderId="66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94" fontId="1" fillId="34" borderId="55" xfId="35" applyFont="1" applyFill="1" applyBorder="1" applyAlignment="1">
      <alignment/>
    </xf>
    <xf numFmtId="194" fontId="1" fillId="0" borderId="22" xfId="35" applyFont="1" applyFill="1" applyBorder="1" applyAlignment="1">
      <alignment/>
    </xf>
    <xf numFmtId="194" fontId="1" fillId="0" borderId="22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left"/>
    </xf>
    <xf numFmtId="194" fontId="24" fillId="0" borderId="22" xfId="35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194" fontId="25" fillId="0" borderId="12" xfId="35" applyFont="1" applyFill="1" applyBorder="1" applyAlignment="1">
      <alignment/>
    </xf>
    <xf numFmtId="194" fontId="24" fillId="0" borderId="12" xfId="0" applyNumberFormat="1" applyFont="1" applyFill="1" applyBorder="1" applyAlignment="1">
      <alignment/>
    </xf>
    <xf numFmtId="194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18" xfId="35" applyNumberFormat="1" applyFont="1" applyFill="1" applyBorder="1" applyAlignment="1">
      <alignment horizontal="center"/>
    </xf>
    <xf numFmtId="49" fontId="0" fillId="0" borderId="18" xfId="35" applyNumberFormat="1" applyFont="1" applyFill="1" applyBorder="1" applyAlignment="1">
      <alignment/>
    </xf>
    <xf numFmtId="194" fontId="1" fillId="0" borderId="18" xfId="35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94" fontId="1" fillId="0" borderId="15" xfId="35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0" fillId="0" borderId="16" xfId="35" applyNumberFormat="1" applyFont="1" applyFill="1" applyBorder="1" applyAlignment="1">
      <alignment horizontal="center"/>
    </xf>
    <xf numFmtId="194" fontId="1" fillId="0" borderId="16" xfId="35" applyFont="1" applyFill="1" applyBorder="1" applyAlignment="1">
      <alignment/>
    </xf>
    <xf numFmtId="49" fontId="1" fillId="0" borderId="16" xfId="35" applyNumberFormat="1" applyFont="1" applyFill="1" applyBorder="1" applyAlignment="1">
      <alignment horizontal="center"/>
    </xf>
    <xf numFmtId="49" fontId="1" fillId="0" borderId="16" xfId="35" applyNumberFormat="1" applyFont="1" applyFill="1" applyBorder="1" applyAlignment="1">
      <alignment/>
    </xf>
    <xf numFmtId="49" fontId="1" fillId="0" borderId="12" xfId="35" applyNumberFormat="1" applyFont="1" applyFill="1" applyBorder="1" applyAlignment="1">
      <alignment horizontal="center"/>
    </xf>
    <xf numFmtId="49" fontId="1" fillId="0" borderId="12" xfId="35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4" xfId="35" applyNumberFormat="1" applyFont="1" applyFill="1" applyBorder="1" applyAlignment="1">
      <alignment horizontal="center"/>
    </xf>
    <xf numFmtId="49" fontId="0" fillId="0" borderId="14" xfId="35" applyNumberFormat="1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0" fillId="0" borderId="19" xfId="35" applyNumberFormat="1" applyFont="1" applyFill="1" applyBorder="1" applyAlignment="1">
      <alignment horizontal="center"/>
    </xf>
    <xf numFmtId="49" fontId="0" fillId="0" borderId="19" xfId="35" applyNumberFormat="1" applyFont="1" applyFill="1" applyBorder="1" applyAlignment="1">
      <alignment/>
    </xf>
    <xf numFmtId="194" fontId="1" fillId="0" borderId="19" xfId="35" applyFont="1" applyFill="1" applyBorder="1" applyAlignment="1">
      <alignment/>
    </xf>
    <xf numFmtId="0" fontId="1" fillId="0" borderId="27" xfId="0" applyFont="1" applyFill="1" applyBorder="1" applyAlignment="1">
      <alignment/>
    </xf>
    <xf numFmtId="49" fontId="0" fillId="0" borderId="10" xfId="35" applyNumberFormat="1" applyFont="1" applyFill="1" applyBorder="1" applyAlignment="1">
      <alignment horizontal="center"/>
    </xf>
    <xf numFmtId="49" fontId="1" fillId="0" borderId="10" xfId="35" applyNumberFormat="1" applyFont="1" applyFill="1" applyBorder="1" applyAlignment="1">
      <alignment horizontal="center"/>
    </xf>
    <xf numFmtId="49" fontId="1" fillId="0" borderId="10" xfId="35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94" fontId="0" fillId="0" borderId="15" xfId="0" applyNumberFormat="1" applyFont="1" applyFill="1" applyBorder="1" applyAlignment="1">
      <alignment/>
    </xf>
    <xf numFmtId="194" fontId="0" fillId="0" borderId="19" xfId="0" applyNumberFormat="1" applyFont="1" applyFill="1" applyBorder="1" applyAlignment="1">
      <alignment/>
    </xf>
    <xf numFmtId="194" fontId="0" fillId="0" borderId="14" xfId="0" applyNumberFormat="1" applyFont="1" applyFill="1" applyBorder="1" applyAlignment="1">
      <alignment/>
    </xf>
    <xf numFmtId="49" fontId="1" fillId="0" borderId="15" xfId="35" applyNumberFormat="1" applyFont="1" applyFill="1" applyBorder="1" applyAlignment="1">
      <alignment horizontal="center"/>
    </xf>
    <xf numFmtId="49" fontId="1" fillId="0" borderId="15" xfId="35" applyNumberFormat="1" applyFont="1" applyFill="1" applyBorder="1" applyAlignment="1">
      <alignment/>
    </xf>
    <xf numFmtId="49" fontId="1" fillId="0" borderId="19" xfId="35" applyNumberFormat="1" applyFont="1" applyFill="1" applyBorder="1" applyAlignment="1">
      <alignment horizontal="center"/>
    </xf>
    <xf numFmtId="194" fontId="0" fillId="0" borderId="68" xfId="35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19" xfId="35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35" applyNumberFormat="1" applyFont="1" applyFill="1" applyBorder="1" applyAlignment="1">
      <alignment horizontal="center"/>
    </xf>
    <xf numFmtId="49" fontId="0" fillId="0" borderId="11" xfId="3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35" applyNumberFormat="1" applyFont="1" applyFill="1" applyAlignment="1">
      <alignment horizontal="center"/>
    </xf>
    <xf numFmtId="49" fontId="0" fillId="0" borderId="0" xfId="35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194" fontId="9" fillId="0" borderId="0" xfId="35" applyFont="1" applyFill="1" applyBorder="1" applyAlignment="1">
      <alignment horizontal="center"/>
    </xf>
    <xf numFmtId="194" fontId="9" fillId="0" borderId="0" xfId="35" applyFont="1" applyFill="1" applyAlignment="1" applyProtection="1">
      <alignment horizontal="right"/>
      <protection locked="0"/>
    </xf>
    <xf numFmtId="194" fontId="9" fillId="0" borderId="21" xfId="35" applyFont="1" applyFill="1" applyBorder="1" applyAlignment="1" applyProtection="1">
      <alignment horizontal="right"/>
      <protection locked="0"/>
    </xf>
    <xf numFmtId="0" fontId="9" fillId="0" borderId="17" xfId="0" applyFont="1" applyBorder="1" applyAlignment="1">
      <alignment horizontal="center"/>
    </xf>
    <xf numFmtId="194" fontId="16" fillId="0" borderId="12" xfId="35" applyFont="1" applyBorder="1" applyAlignment="1">
      <alignment/>
    </xf>
    <xf numFmtId="194" fontId="0" fillId="0" borderId="0" xfId="35" applyFont="1" applyFill="1" applyAlignment="1">
      <alignment/>
    </xf>
    <xf numFmtId="4" fontId="9" fillId="0" borderId="21" xfId="0" applyNumberFormat="1" applyFont="1" applyBorder="1" applyAlignment="1">
      <alignment/>
    </xf>
    <xf numFmtId="194" fontId="9" fillId="0" borderId="17" xfId="35" applyFont="1" applyBorder="1" applyAlignment="1">
      <alignment horizontal="center"/>
    </xf>
    <xf numFmtId="0" fontId="9" fillId="0" borderId="0" xfId="0" applyFont="1" applyAlignment="1">
      <alignment horizontal="right"/>
    </xf>
    <xf numFmtId="194" fontId="9" fillId="0" borderId="28" xfId="35" applyFont="1" applyBorder="1" applyAlignment="1">
      <alignment horizontal="center" vertical="center" shrinkToFit="1"/>
    </xf>
    <xf numFmtId="194" fontId="9" fillId="0" borderId="11" xfId="35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94" fontId="9" fillId="0" borderId="24" xfId="35" applyFont="1" applyFill="1" applyBorder="1" applyAlignment="1">
      <alignment/>
    </xf>
    <xf numFmtId="200" fontId="9" fillId="0" borderId="0" xfId="35" applyNumberFormat="1" applyFont="1" applyAlignment="1">
      <alignment/>
    </xf>
    <xf numFmtId="200" fontId="14" fillId="0" borderId="0" xfId="35" applyNumberFormat="1" applyFont="1" applyAlignment="1">
      <alignment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 horizontal="center"/>
    </xf>
    <xf numFmtId="200" fontId="14" fillId="0" borderId="18" xfId="35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200" fontId="14" fillId="0" borderId="15" xfId="35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 horizontal="center"/>
    </xf>
    <xf numFmtId="200" fontId="14" fillId="0" borderId="19" xfId="35" applyNumberFormat="1" applyFont="1" applyBorder="1" applyAlignment="1">
      <alignment horizontal="center"/>
    </xf>
    <xf numFmtId="200" fontId="14" fillId="0" borderId="0" xfId="35" applyNumberFormat="1" applyFont="1" applyAlignment="1">
      <alignment horizontal="center"/>
    </xf>
    <xf numFmtId="213" fontId="9" fillId="0" borderId="21" xfId="0" applyNumberFormat="1" applyFont="1" applyBorder="1" applyAlignment="1">
      <alignment/>
    </xf>
    <xf numFmtId="0" fontId="32" fillId="0" borderId="0" xfId="49" applyFont="1">
      <alignment/>
      <protection/>
    </xf>
    <xf numFmtId="0" fontId="31" fillId="0" borderId="22" xfId="49" applyFont="1" applyBorder="1" applyAlignment="1">
      <alignment horizontal="center"/>
      <protection/>
    </xf>
    <xf numFmtId="0" fontId="31" fillId="0" borderId="11" xfId="49" applyFont="1" applyBorder="1" applyAlignment="1">
      <alignment horizontal="center"/>
      <protection/>
    </xf>
    <xf numFmtId="0" fontId="31" fillId="0" borderId="10" xfId="49" applyFont="1" applyBorder="1" applyAlignment="1">
      <alignment horizontal="center"/>
      <protection/>
    </xf>
    <xf numFmtId="0" fontId="33" fillId="0" borderId="22" xfId="49" applyFont="1" applyBorder="1">
      <alignment/>
      <protection/>
    </xf>
    <xf numFmtId="194" fontId="32" fillId="0" borderId="22" xfId="35" applyFont="1" applyBorder="1" applyAlignment="1">
      <alignment/>
    </xf>
    <xf numFmtId="0" fontId="32" fillId="0" borderId="15" xfId="49" applyFont="1" applyBorder="1">
      <alignment/>
      <protection/>
    </xf>
    <xf numFmtId="194" fontId="32" fillId="0" borderId="15" xfId="35" applyFont="1" applyBorder="1" applyAlignment="1">
      <alignment/>
    </xf>
    <xf numFmtId="194" fontId="32" fillId="0" borderId="0" xfId="49" applyNumberFormat="1" applyFont="1">
      <alignment/>
      <protection/>
    </xf>
    <xf numFmtId="0" fontId="32" fillId="0" borderId="19" xfId="49" applyFont="1" applyBorder="1">
      <alignment/>
      <protection/>
    </xf>
    <xf numFmtId="194" fontId="32" fillId="0" borderId="16" xfId="35" applyFont="1" applyBorder="1" applyAlignment="1">
      <alignment/>
    </xf>
    <xf numFmtId="0" fontId="32" fillId="0" borderId="10" xfId="49" applyFont="1" applyBorder="1" applyAlignment="1">
      <alignment horizontal="center"/>
      <protection/>
    </xf>
    <xf numFmtId="194" fontId="32" fillId="0" borderId="12" xfId="35" applyFont="1" applyBorder="1" applyAlignment="1">
      <alignment/>
    </xf>
    <xf numFmtId="0" fontId="32" fillId="0" borderId="11" xfId="49" applyFont="1" applyBorder="1">
      <alignment/>
      <protection/>
    </xf>
    <xf numFmtId="0" fontId="32" fillId="0" borderId="15" xfId="49" applyFont="1" applyBorder="1" applyAlignment="1">
      <alignment horizontal="left"/>
      <protection/>
    </xf>
    <xf numFmtId="0" fontId="32" fillId="0" borderId="15" xfId="49" applyFont="1" applyBorder="1" applyAlignment="1">
      <alignment horizontal="left" indent="1"/>
      <protection/>
    </xf>
    <xf numFmtId="194" fontId="32" fillId="0" borderId="15" xfId="35" applyFont="1" applyBorder="1" applyAlignment="1">
      <alignment horizontal="right"/>
    </xf>
    <xf numFmtId="0" fontId="32" fillId="0" borderId="11" xfId="49" applyFont="1" applyBorder="1" applyAlignment="1">
      <alignment horizontal="left"/>
      <protection/>
    </xf>
    <xf numFmtId="194" fontId="32" fillId="0" borderId="11" xfId="35" applyFont="1" applyBorder="1" applyAlignment="1">
      <alignment horizontal="right"/>
    </xf>
    <xf numFmtId="194" fontId="32" fillId="0" borderId="11" xfId="35" applyFont="1" applyBorder="1" applyAlignment="1">
      <alignment/>
    </xf>
    <xf numFmtId="0" fontId="32" fillId="0" borderId="17" xfId="49" applyFont="1" applyBorder="1" applyAlignment="1">
      <alignment horizontal="center"/>
      <protection/>
    </xf>
    <xf numFmtId="194" fontId="32" fillId="0" borderId="12" xfId="49" applyNumberFormat="1" applyFont="1" applyBorder="1">
      <alignment/>
      <protection/>
    </xf>
    <xf numFmtId="0" fontId="32" fillId="0" borderId="12" xfId="49" applyFont="1" applyBorder="1">
      <alignment/>
      <protection/>
    </xf>
    <xf numFmtId="194" fontId="32" fillId="0" borderId="55" xfId="49" applyNumberFormat="1" applyFont="1" applyBorder="1">
      <alignment/>
      <protection/>
    </xf>
    <xf numFmtId="194" fontId="9" fillId="0" borderId="0" xfId="35" applyFont="1" applyAlignment="1">
      <alignment horizontal="right"/>
    </xf>
    <xf numFmtId="0" fontId="8" fillId="0" borderId="0" xfId="0" applyFont="1" applyAlignment="1">
      <alignment horizontal="right"/>
    </xf>
    <xf numFmtId="194" fontId="8" fillId="0" borderId="0" xfId="35" applyFont="1" applyAlignment="1">
      <alignment horizontal="right"/>
    </xf>
    <xf numFmtId="194" fontId="8" fillId="0" borderId="0" xfId="35" applyFont="1" applyAlignment="1">
      <alignment horizontal="center"/>
    </xf>
    <xf numFmtId="213" fontId="9" fillId="0" borderId="0" xfId="0" applyNumberFormat="1" applyFont="1" applyBorder="1" applyAlignment="1">
      <alignment/>
    </xf>
    <xf numFmtId="194" fontId="0" fillId="0" borderId="0" xfId="35" applyFont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4" fillId="0" borderId="0" xfId="0" applyFont="1" applyBorder="1" applyAlignment="1">
      <alignment/>
    </xf>
    <xf numFmtId="0" fontId="2" fillId="0" borderId="0" xfId="0" applyFont="1" applyBorder="1" applyAlignment="1">
      <alignment/>
    </xf>
    <xf numFmtId="194" fontId="35" fillId="0" borderId="10" xfId="35" applyFont="1" applyBorder="1" applyAlignment="1">
      <alignment horizontal="center"/>
    </xf>
    <xf numFmtId="200" fontId="35" fillId="0" borderId="18" xfId="35" applyNumberFormat="1" applyFont="1" applyBorder="1" applyAlignment="1">
      <alignment/>
    </xf>
    <xf numFmtId="0" fontId="35" fillId="0" borderId="15" xfId="0" applyFont="1" applyBorder="1" applyAlignment="1">
      <alignment horizontal="left"/>
    </xf>
    <xf numFmtId="200" fontId="35" fillId="0" borderId="15" xfId="35" applyNumberFormat="1" applyFont="1" applyBorder="1" applyAlignment="1">
      <alignment/>
    </xf>
    <xf numFmtId="0" fontId="35" fillId="0" borderId="19" xfId="0" applyFont="1" applyBorder="1" applyAlignment="1">
      <alignment horizontal="left"/>
    </xf>
    <xf numFmtId="0" fontId="35" fillId="0" borderId="0" xfId="0" applyFont="1" applyAlignment="1">
      <alignment/>
    </xf>
    <xf numFmtId="194" fontId="35" fillId="0" borderId="0" xfId="35" applyFont="1" applyAlignment="1">
      <alignment/>
    </xf>
    <xf numFmtId="0" fontId="35" fillId="0" borderId="0" xfId="0" applyFont="1" applyAlignment="1">
      <alignment horizontal="center"/>
    </xf>
    <xf numFmtId="194" fontId="2" fillId="0" borderId="0" xfId="35" applyFont="1" applyAlignment="1">
      <alignment/>
    </xf>
    <xf numFmtId="194" fontId="35" fillId="0" borderId="25" xfId="35" applyFont="1" applyBorder="1" applyAlignment="1">
      <alignment/>
    </xf>
    <xf numFmtId="194" fontId="2" fillId="0" borderId="25" xfId="35" applyFont="1" applyBorder="1" applyAlignment="1">
      <alignment/>
    </xf>
    <xf numFmtId="0" fontId="35" fillId="0" borderId="0" xfId="0" applyFont="1" applyBorder="1" applyAlignment="1">
      <alignment/>
    </xf>
    <xf numFmtId="194" fontId="35" fillId="0" borderId="0" xfId="35" applyFont="1" applyBorder="1" applyAlignment="1">
      <alignment/>
    </xf>
    <xf numFmtId="0" fontId="36" fillId="0" borderId="18" xfId="0" applyFont="1" applyBorder="1" applyAlignment="1">
      <alignment/>
    </xf>
    <xf numFmtId="0" fontId="34" fillId="0" borderId="10" xfId="0" applyFont="1" applyBorder="1" applyAlignment="1">
      <alignment horizontal="center"/>
    </xf>
    <xf numFmtId="194" fontId="35" fillId="0" borderId="17" xfId="35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194" fontId="35" fillId="0" borderId="11" xfId="35" applyFont="1" applyBorder="1" applyAlignment="1">
      <alignment horizontal="center" vertical="center" wrapText="1"/>
    </xf>
    <xf numFmtId="194" fontId="32" fillId="0" borderId="15" xfId="35" applyFont="1" applyBorder="1" applyAlignment="1">
      <alignment horizontal="left" indent="1"/>
    </xf>
    <xf numFmtId="194" fontId="32" fillId="0" borderId="15" xfId="35" applyFont="1" applyFill="1" applyBorder="1" applyAlignment="1">
      <alignment/>
    </xf>
    <xf numFmtId="194" fontId="32" fillId="0" borderId="15" xfId="35" applyNumberFormat="1" applyFont="1" applyBorder="1" applyAlignment="1">
      <alignment/>
    </xf>
    <xf numFmtId="194" fontId="32" fillId="0" borderId="0" xfId="35" applyFont="1" applyBorder="1" applyAlignment="1">
      <alignment/>
    </xf>
    <xf numFmtId="0" fontId="9" fillId="0" borderId="15" xfId="0" applyFont="1" applyBorder="1" applyAlignment="1">
      <alignment horizontal="left"/>
    </xf>
    <xf numFmtId="4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 horizontal="left" indent="3"/>
    </xf>
    <xf numFmtId="0" fontId="9" fillId="0" borderId="11" xfId="0" applyFont="1" applyBorder="1" applyAlignment="1">
      <alignment horizontal="left" indent="3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200" fontId="0" fillId="0" borderId="14" xfId="35" applyNumberFormat="1" applyFont="1" applyBorder="1" applyAlignment="1">
      <alignment/>
    </xf>
    <xf numFmtId="200" fontId="0" fillId="0" borderId="15" xfId="35" applyNumberFormat="1" applyFont="1" applyBorder="1" applyAlignment="1">
      <alignment/>
    </xf>
    <xf numFmtId="200" fontId="0" fillId="0" borderId="19" xfId="35" applyNumberFormat="1" applyFont="1" applyBorder="1" applyAlignment="1">
      <alignment/>
    </xf>
    <xf numFmtId="200" fontId="0" fillId="0" borderId="0" xfId="35" applyNumberFormat="1" applyFont="1" applyAlignment="1">
      <alignment/>
    </xf>
    <xf numFmtId="200" fontId="0" fillId="0" borderId="12" xfId="35" applyNumberFormat="1" applyFont="1" applyBorder="1" applyAlignment="1">
      <alignment/>
    </xf>
    <xf numFmtId="194" fontId="35" fillId="0" borderId="22" xfId="35" applyFont="1" applyBorder="1" applyAlignment="1">
      <alignment horizontal="center" vertical="center" wrapText="1"/>
    </xf>
    <xf numFmtId="194" fontId="35" fillId="0" borderId="18" xfId="35" applyFont="1" applyBorder="1" applyAlignment="1">
      <alignment/>
    </xf>
    <xf numFmtId="194" fontId="2" fillId="0" borderId="18" xfId="35" applyFont="1" applyBorder="1" applyAlignment="1">
      <alignment/>
    </xf>
    <xf numFmtId="194" fontId="35" fillId="0" borderId="15" xfId="35" applyFont="1" applyBorder="1" applyAlignment="1">
      <alignment/>
    </xf>
    <xf numFmtId="194" fontId="2" fillId="0" borderId="15" xfId="35" applyFont="1" applyBorder="1" applyAlignment="1">
      <alignment/>
    </xf>
    <xf numFmtId="194" fontId="35" fillId="0" borderId="16" xfId="35" applyFont="1" applyBorder="1" applyAlignment="1">
      <alignment/>
    </xf>
    <xf numFmtId="194" fontId="35" fillId="0" borderId="19" xfId="35" applyFont="1" applyBorder="1" applyAlignment="1">
      <alignment/>
    </xf>
    <xf numFmtId="194" fontId="2" fillId="0" borderId="19" xfId="35" applyFont="1" applyBorder="1" applyAlignment="1">
      <alignment/>
    </xf>
    <xf numFmtId="194" fontId="34" fillId="0" borderId="12" xfId="35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194" fontId="0" fillId="0" borderId="22" xfId="35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4" fontId="0" fillId="0" borderId="10" xfId="35" applyFont="1" applyBorder="1" applyAlignment="1">
      <alignment horizontal="center"/>
    </xf>
    <xf numFmtId="194" fontId="0" fillId="0" borderId="10" xfId="35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194" fontId="0" fillId="0" borderId="11" xfId="35" applyFont="1" applyBorder="1" applyAlignment="1">
      <alignment horizontal="center"/>
    </xf>
    <xf numFmtId="194" fontId="0" fillId="0" borderId="11" xfId="3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5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vertical="center" shrinkToFit="1"/>
    </xf>
    <xf numFmtId="194" fontId="0" fillId="0" borderId="21" xfId="35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15" fontId="0" fillId="0" borderId="11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/>
    </xf>
    <xf numFmtId="194" fontId="0" fillId="0" borderId="12" xfId="35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94" fontId="0" fillId="0" borderId="0" xfId="35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15" xfId="0" applyFont="1" applyBorder="1" applyAlignment="1">
      <alignment horizontal="left" indent="2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200" fontId="1" fillId="0" borderId="0" xfId="35" applyNumberFormat="1" applyFont="1" applyAlignment="1">
      <alignment horizontal="center"/>
    </xf>
    <xf numFmtId="200" fontId="0" fillId="0" borderId="16" xfId="35" applyNumberFormat="1" applyFont="1" applyBorder="1" applyAlignment="1">
      <alignment/>
    </xf>
    <xf numFmtId="200" fontId="0" fillId="0" borderId="10" xfId="35" applyNumberFormat="1" applyFont="1" applyBorder="1" applyAlignment="1">
      <alignment/>
    </xf>
    <xf numFmtId="0" fontId="9" fillId="0" borderId="0" xfId="0" applyFont="1" applyAlignment="1">
      <alignment horizontal="center"/>
    </xf>
    <xf numFmtId="194" fontId="9" fillId="0" borderId="0" xfId="35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94" fontId="9" fillId="0" borderId="22" xfId="35" applyFont="1" applyBorder="1" applyAlignment="1">
      <alignment horizontal="center" vertical="center"/>
    </xf>
    <xf numFmtId="194" fontId="9" fillId="0" borderId="10" xfId="35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33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94" fontId="0" fillId="0" borderId="0" xfId="35" applyFont="1" applyAlignment="1">
      <alignment horizontal="center"/>
    </xf>
    <xf numFmtId="194" fontId="1" fillId="0" borderId="69" xfId="35" applyFont="1" applyBorder="1" applyAlignment="1">
      <alignment horizontal="center" vertical="center" shrinkToFit="1"/>
    </xf>
    <xf numFmtId="194" fontId="1" fillId="0" borderId="70" xfId="35" applyFont="1" applyBorder="1" applyAlignment="1">
      <alignment horizontal="center" vertical="center" shrinkToFit="1"/>
    </xf>
    <xf numFmtId="194" fontId="1" fillId="0" borderId="26" xfId="35" applyFont="1" applyBorder="1" applyAlignment="1">
      <alignment horizontal="center" vertical="center" shrinkToFit="1"/>
    </xf>
    <xf numFmtId="0" fontId="1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4" fontId="9" fillId="0" borderId="69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1" fillId="0" borderId="0" xfId="49" applyFont="1" applyAlignment="1">
      <alignment horizontal="center"/>
      <protection/>
    </xf>
    <xf numFmtId="194" fontId="1" fillId="0" borderId="69" xfId="35" applyFont="1" applyFill="1" applyBorder="1" applyAlignment="1">
      <alignment horizontal="center"/>
    </xf>
    <xf numFmtId="194" fontId="1" fillId="0" borderId="26" xfId="35" applyFont="1" applyFill="1" applyBorder="1" applyAlignment="1">
      <alignment horizontal="center"/>
    </xf>
    <xf numFmtId="194" fontId="6" fillId="0" borderId="69" xfId="35" applyFont="1" applyFill="1" applyBorder="1" applyAlignment="1">
      <alignment horizontal="center"/>
    </xf>
    <xf numFmtId="194" fontId="6" fillId="0" borderId="26" xfId="35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center"/>
    </xf>
    <xf numFmtId="194" fontId="22" fillId="0" borderId="69" xfId="35" applyFont="1" applyFill="1" applyBorder="1" applyAlignment="1">
      <alignment horizontal="center"/>
    </xf>
    <xf numFmtId="194" fontId="22" fillId="0" borderId="26" xfId="35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4" fontId="9" fillId="0" borderId="2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4" fontId="0" fillId="0" borderId="0" xfId="35" applyFont="1" applyAlignment="1">
      <alignment horizontal="center"/>
    </xf>
    <xf numFmtId="194" fontId="0" fillId="0" borderId="21" xfId="35" applyFont="1" applyBorder="1" applyAlignment="1">
      <alignment horizontal="center"/>
    </xf>
    <xf numFmtId="0" fontId="0" fillId="0" borderId="17" xfId="0" applyBorder="1" applyAlignment="1">
      <alignment horizontal="center"/>
    </xf>
    <xf numFmtId="194" fontId="0" fillId="0" borderId="17" xfId="35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212" fontId="9" fillId="33" borderId="17" xfId="0" applyNumberFormat="1" applyFont="1" applyFill="1" applyBorder="1" applyAlignment="1">
      <alignment horizontal="center" vertical="center"/>
    </xf>
    <xf numFmtId="194" fontId="9" fillId="33" borderId="17" xfId="35" applyFont="1" applyFill="1" applyBorder="1" applyAlignment="1">
      <alignment horizontal="center"/>
    </xf>
    <xf numFmtId="194" fontId="9" fillId="0" borderId="17" xfId="35" applyFont="1" applyFill="1" applyBorder="1" applyAlignment="1">
      <alignment horizontal="center" vertical="center"/>
    </xf>
    <xf numFmtId="194" fontId="9" fillId="33" borderId="17" xfId="35" applyFont="1" applyFill="1" applyBorder="1" applyAlignment="1">
      <alignment horizontal="center" vertical="center"/>
    </xf>
    <xf numFmtId="194" fontId="9" fillId="33" borderId="22" xfId="35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4" fontId="9" fillId="33" borderId="22" xfId="35" applyFont="1" applyFill="1" applyBorder="1" applyAlignment="1">
      <alignment horizontal="center" vertical="center" wrapText="1"/>
    </xf>
    <xf numFmtId="194" fontId="9" fillId="33" borderId="10" xfId="35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2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94" fontId="35" fillId="0" borderId="11" xfId="35" applyFont="1" applyBorder="1" applyAlignment="1">
      <alignment horizontal="center" vertical="center" wrapText="1"/>
    </xf>
    <xf numFmtId="194" fontId="35" fillId="0" borderId="10" xfId="35" applyFont="1" applyBorder="1" applyAlignment="1">
      <alignment horizontal="center" vertical="center" wrapText="1"/>
    </xf>
    <xf numFmtId="194" fontId="35" fillId="0" borderId="69" xfId="35" applyFont="1" applyBorder="1" applyAlignment="1">
      <alignment horizontal="center"/>
    </xf>
    <xf numFmtId="194" fontId="35" fillId="0" borderId="26" xfId="3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2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194" fontId="0" fillId="0" borderId="69" xfId="35" applyFont="1" applyBorder="1" applyAlignment="1">
      <alignment horizontal="center" vertical="center"/>
    </xf>
    <xf numFmtId="194" fontId="0" fillId="0" borderId="26" xfId="35" applyFont="1" applyBorder="1" applyAlignment="1">
      <alignment horizontal="center" vertical="center"/>
    </xf>
    <xf numFmtId="194" fontId="0" fillId="0" borderId="22" xfId="35" applyFont="1" applyBorder="1" applyAlignment="1">
      <alignment horizontal="center" vertical="center"/>
    </xf>
    <xf numFmtId="194" fontId="0" fillId="0" borderId="10" xfId="35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00" fontId="1" fillId="0" borderId="22" xfId="35" applyNumberFormat="1" applyFont="1" applyBorder="1" applyAlignment="1">
      <alignment horizontal="center" vertical="center"/>
    </xf>
    <xf numFmtId="200" fontId="1" fillId="0" borderId="10" xfId="35" applyNumberFormat="1" applyFont="1" applyBorder="1" applyAlignment="1">
      <alignment horizontal="center" vertical="center"/>
    </xf>
    <xf numFmtId="194" fontId="9" fillId="33" borderId="0" xfId="0" applyNumberFormat="1" applyFont="1" applyFill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งบแสดงผลการดำเนินงานจ่ายจากเงินรายรับ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10</xdr:row>
      <xdr:rowOff>104775</xdr:rowOff>
    </xdr:from>
    <xdr:to>
      <xdr:col>8</xdr:col>
      <xdr:colOff>238125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9115425" y="3057525"/>
          <a:ext cx="228600" cy="3571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123825</xdr:rowOff>
    </xdr:from>
    <xdr:to>
      <xdr:col>2</xdr:col>
      <xdr:colOff>142875</xdr:colOff>
      <xdr:row>13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3352800" y="3076575"/>
          <a:ext cx="7620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19050</xdr:rowOff>
    </xdr:from>
    <xdr:to>
      <xdr:col>2</xdr:col>
      <xdr:colOff>171450</xdr:colOff>
      <xdr:row>23</xdr:row>
      <xdr:rowOff>257175</xdr:rowOff>
    </xdr:to>
    <xdr:sp>
      <xdr:nvSpPr>
        <xdr:cNvPr id="3" name="AutoShape 5"/>
        <xdr:cNvSpPr>
          <a:spLocks/>
        </xdr:cNvSpPr>
      </xdr:nvSpPr>
      <xdr:spPr>
        <a:xfrm>
          <a:off x="3343275" y="4448175"/>
          <a:ext cx="114300" cy="2600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57150</xdr:rowOff>
    </xdr:from>
    <xdr:to>
      <xdr:col>8</xdr:col>
      <xdr:colOff>104775</xdr:colOff>
      <xdr:row>36</xdr:row>
      <xdr:rowOff>47625</xdr:rowOff>
    </xdr:to>
    <xdr:sp>
      <xdr:nvSpPr>
        <xdr:cNvPr id="4" name="AutoShape 7"/>
        <xdr:cNvSpPr>
          <a:spLocks/>
        </xdr:cNvSpPr>
      </xdr:nvSpPr>
      <xdr:spPr>
        <a:xfrm>
          <a:off x="9134475" y="7734300"/>
          <a:ext cx="76200" cy="2943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35</xdr:row>
      <xdr:rowOff>57150</xdr:rowOff>
    </xdr:from>
    <xdr:to>
      <xdr:col>1</xdr:col>
      <xdr:colOff>38100</xdr:colOff>
      <xdr:row>35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619125" y="9991725"/>
          <a:ext cx="161925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1390650</xdr:colOff>
      <xdr:row>35</xdr:row>
      <xdr:rowOff>57150</xdr:rowOff>
    </xdr:from>
    <xdr:to>
      <xdr:col>3</xdr:col>
      <xdr:colOff>590550</xdr:colOff>
      <xdr:row>35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3590925" y="9991725"/>
          <a:ext cx="178117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35</xdr:row>
      <xdr:rowOff>57150</xdr:rowOff>
    </xdr:from>
    <xdr:to>
      <xdr:col>1</xdr:col>
      <xdr:colOff>38100</xdr:colOff>
      <xdr:row>35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619125" y="9991725"/>
          <a:ext cx="161925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1390650</xdr:colOff>
      <xdr:row>35</xdr:row>
      <xdr:rowOff>57150</xdr:rowOff>
    </xdr:from>
    <xdr:to>
      <xdr:col>3</xdr:col>
      <xdr:colOff>590550</xdr:colOff>
      <xdr:row>35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3590925" y="9991725"/>
          <a:ext cx="178117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KLUV8HQR\&#3607;&#3605;.&#3621;&#3634;&#3609;&#3586;&#3656;&#3629;&#3618;%202552(&#3605;&#3640;&#3657;&#3617;)\&#3607;&#3605;.&#3621;&#3634;&#3609;&#3586;&#3656;&#3629;&#3618;%2025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KLUV8HQR\&#3607;&#3605;.&#3621;&#3634;&#3609;&#3586;&#3656;&#3629;&#3618;%202552(&#3605;&#3640;&#3657;&#3617;)\&#3607;&#3605;.&#3610;&#3634;&#3591;&#3649;&#3585;&#3657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ละเอียดแนบรายละเอียดรายรับ"/>
      <sheetName val="จ่ายจากรับ"/>
      <sheetName val="หมายเหตุประกอบ"/>
      <sheetName val="โอน"/>
      <sheetName val="ประมาณการและโอน"/>
      <sheetName val="รายละเอียดรายรับ "/>
    </sheetNames>
    <sheetDataSet>
      <sheetData sheetId="3">
        <row r="10">
          <cell r="C10">
            <v>-124700</v>
          </cell>
          <cell r="E10">
            <v>0</v>
          </cell>
          <cell r="G10">
            <v>-65000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Y10">
            <v>0</v>
          </cell>
        </row>
        <row r="17">
          <cell r="C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Y17">
            <v>0</v>
          </cell>
        </row>
        <row r="25">
          <cell r="C25">
            <v>-140000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53064</v>
          </cell>
          <cell r="O25">
            <v>0</v>
          </cell>
          <cell r="Q25">
            <v>0</v>
          </cell>
          <cell r="S25">
            <v>0</v>
          </cell>
          <cell r="T25">
            <v>0</v>
          </cell>
          <cell r="Y25">
            <v>0</v>
          </cell>
        </row>
        <row r="38">
          <cell r="C38">
            <v>-278500</v>
          </cell>
          <cell r="E38">
            <v>0</v>
          </cell>
          <cell r="G38">
            <v>-10000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Y38">
            <v>0</v>
          </cell>
        </row>
        <row r="55">
          <cell r="C55">
            <v>218000</v>
          </cell>
          <cell r="E55">
            <v>0</v>
          </cell>
          <cell r="G55">
            <v>32000</v>
          </cell>
          <cell r="I55">
            <v>0</v>
          </cell>
          <cell r="K55">
            <v>0</v>
          </cell>
          <cell r="M55">
            <v>-4264</v>
          </cell>
          <cell r="O55">
            <v>361400</v>
          </cell>
          <cell r="Q55">
            <v>0</v>
          </cell>
          <cell r="S55">
            <v>131500</v>
          </cell>
          <cell r="T55">
            <v>0</v>
          </cell>
          <cell r="U55">
            <v>0</v>
          </cell>
          <cell r="Y55">
            <v>0</v>
          </cell>
        </row>
        <row r="68">
          <cell r="C68">
            <v>167589</v>
          </cell>
          <cell r="E68">
            <v>0</v>
          </cell>
          <cell r="G68">
            <v>48000</v>
          </cell>
          <cell r="I68">
            <v>0</v>
          </cell>
          <cell r="K68">
            <v>0</v>
          </cell>
          <cell r="M68">
            <v>-20000</v>
          </cell>
          <cell r="O68">
            <v>-41900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Y68">
            <v>0</v>
          </cell>
        </row>
        <row r="76">
          <cell r="C76">
            <v>2911</v>
          </cell>
          <cell r="E76">
            <v>0</v>
          </cell>
          <cell r="G76">
            <v>0</v>
          </cell>
          <cell r="I76">
            <v>0</v>
          </cell>
          <cell r="K76">
            <v>0</v>
          </cell>
          <cell r="M76">
            <v>-48800</v>
          </cell>
          <cell r="O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Y76">
            <v>0</v>
          </cell>
        </row>
        <row r="84">
          <cell r="C84">
            <v>0</v>
          </cell>
          <cell r="E84">
            <v>0</v>
          </cell>
          <cell r="G84">
            <v>0</v>
          </cell>
          <cell r="I84">
            <v>0</v>
          </cell>
          <cell r="K84">
            <v>0</v>
          </cell>
          <cell r="M84">
            <v>0</v>
          </cell>
          <cell r="O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Y84">
            <v>0</v>
          </cell>
        </row>
        <row r="91">
          <cell r="C91">
            <v>0</v>
          </cell>
          <cell r="E91">
            <v>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Y91">
            <v>0</v>
          </cell>
        </row>
        <row r="99">
          <cell r="C99">
            <v>-95000</v>
          </cell>
          <cell r="E99">
            <v>0</v>
          </cell>
          <cell r="G99">
            <v>0</v>
          </cell>
          <cell r="I99">
            <v>-5000</v>
          </cell>
          <cell r="K99">
            <v>0</v>
          </cell>
          <cell r="M99">
            <v>0</v>
          </cell>
          <cell r="O99">
            <v>0</v>
          </cell>
          <cell r="Q99">
            <v>0</v>
          </cell>
          <cell r="S99">
            <v>-250000</v>
          </cell>
          <cell r="T99">
            <v>0</v>
          </cell>
          <cell r="U99">
            <v>0</v>
          </cell>
          <cell r="Y99">
            <v>0</v>
          </cell>
        </row>
        <row r="105">
          <cell r="C105">
            <v>0</v>
          </cell>
        </row>
        <row r="113">
          <cell r="Y113">
            <v>68700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ละเอียดรายรับรวม"/>
      <sheetName val="รายละเอียดรายรับอบต."/>
      <sheetName val="รายละเอียดรายรับทต."/>
      <sheetName val="จ่ายจากรับ"/>
      <sheetName val="หมายเหตุประกอบ"/>
      <sheetName val="กระดาษทำการงบทรัพย์สิน"/>
      <sheetName val=" งบ ทส"/>
      <sheetName val="จ่ายจากเงินสะสม"/>
      <sheetName val="รายงานจ่ายจากเงินสะสม"/>
      <sheetName val="อนุมัติจ่ายเงินสะสม"/>
      <sheetName val="เงินขาดบัญชี"/>
      <sheetName val="โอน "/>
      <sheetName val="ประมาณการและโอนรวม"/>
      <sheetName val=" งบประมาณสุทธิ"/>
    </sheetNames>
    <sheetDataSet>
      <sheetData sheetId="11">
        <row r="19">
          <cell r="W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PageLayoutView="0" workbookViewId="0" topLeftCell="A1">
      <selection activeCell="A5" sqref="A5:H5"/>
    </sheetView>
  </sheetViews>
  <sheetFormatPr defaultColWidth="9.140625" defaultRowHeight="23.25"/>
  <cols>
    <col min="1" max="1" width="8.57421875" style="67" customWidth="1"/>
    <col min="2" max="3" width="9.140625" style="67" customWidth="1"/>
    <col min="4" max="4" width="11.140625" style="67" customWidth="1"/>
    <col min="5" max="5" width="12.28125" style="67" customWidth="1"/>
    <col min="6" max="6" width="14.00390625" style="67" customWidth="1"/>
    <col min="7" max="7" width="15.140625" style="84" customWidth="1"/>
    <col min="8" max="8" width="17.421875" style="49" customWidth="1"/>
    <col min="9" max="10" width="9.140625" style="67" customWidth="1"/>
    <col min="11" max="11" width="13.57421875" style="67" bestFit="1" customWidth="1"/>
    <col min="12" max="16384" width="9.140625" style="67" customWidth="1"/>
  </cols>
  <sheetData>
    <row r="1" spans="1:9" ht="23.25">
      <c r="A1" s="650" t="s">
        <v>418</v>
      </c>
      <c r="B1" s="650"/>
      <c r="C1" s="650"/>
      <c r="D1" s="650"/>
      <c r="E1" s="650"/>
      <c r="F1" s="650"/>
      <c r="G1" s="650"/>
      <c r="H1" s="650"/>
      <c r="I1" s="68"/>
    </row>
    <row r="2" spans="1:9" ht="23.25">
      <c r="A2" s="650" t="s">
        <v>30</v>
      </c>
      <c r="B2" s="650"/>
      <c r="C2" s="650"/>
      <c r="D2" s="650"/>
      <c r="E2" s="650"/>
      <c r="F2" s="650"/>
      <c r="G2" s="650"/>
      <c r="H2" s="650"/>
      <c r="I2" s="68"/>
    </row>
    <row r="3" spans="1:9" ht="23.25">
      <c r="A3" s="650" t="s">
        <v>586</v>
      </c>
      <c r="B3" s="650"/>
      <c r="C3" s="650"/>
      <c r="D3" s="650"/>
      <c r="E3" s="650"/>
      <c r="F3" s="650"/>
      <c r="G3" s="650"/>
      <c r="H3" s="650"/>
      <c r="I3" s="68"/>
    </row>
    <row r="5" spans="1:9" ht="23.25">
      <c r="A5" s="653" t="s">
        <v>32</v>
      </c>
      <c r="B5" s="653"/>
      <c r="C5" s="653"/>
      <c r="D5" s="653"/>
      <c r="E5" s="653"/>
      <c r="F5" s="653"/>
      <c r="G5" s="653"/>
      <c r="H5" s="653"/>
      <c r="I5" s="68"/>
    </row>
    <row r="6" spans="1:8" ht="24" thickBot="1">
      <c r="A6" s="68" t="s">
        <v>80</v>
      </c>
      <c r="B6" s="68"/>
      <c r="C6" s="68"/>
      <c r="D6" s="68"/>
      <c r="E6" s="68" t="s">
        <v>81</v>
      </c>
      <c r="H6" s="519">
        <f>' งบ ทส'!F27</f>
        <v>8737845</v>
      </c>
    </row>
    <row r="7" spans="1:8" ht="24" customHeight="1" thickTop="1">
      <c r="A7" s="68" t="s">
        <v>155</v>
      </c>
      <c r="B7" s="68"/>
      <c r="C7" s="68"/>
      <c r="D7" s="68"/>
      <c r="E7" s="61" t="s">
        <v>82</v>
      </c>
      <c r="F7" s="651"/>
      <c r="G7" s="651"/>
      <c r="H7" s="49">
        <f>H49</f>
        <v>16125812.320000002</v>
      </c>
    </row>
    <row r="8" spans="1:8" ht="25.5" customHeight="1">
      <c r="A8" s="67" t="s">
        <v>145</v>
      </c>
      <c r="F8" s="651"/>
      <c r="G8" s="651"/>
      <c r="H8" s="49">
        <v>457884.06</v>
      </c>
    </row>
    <row r="9" spans="1:8" ht="25.5" customHeight="1">
      <c r="A9" s="67" t="s">
        <v>352</v>
      </c>
      <c r="F9" s="78"/>
      <c r="G9" s="78"/>
      <c r="H9" s="49">
        <v>5780000</v>
      </c>
    </row>
    <row r="10" spans="1:7" ht="25.5" customHeight="1">
      <c r="A10" s="67" t="s">
        <v>1</v>
      </c>
      <c r="B10" s="67" t="s">
        <v>392</v>
      </c>
      <c r="F10" s="78"/>
      <c r="G10" s="78">
        <v>0</v>
      </c>
    </row>
    <row r="11" spans="2:7" ht="25.5" customHeight="1">
      <c r="B11" s="67" t="s">
        <v>584</v>
      </c>
      <c r="F11" s="78"/>
      <c r="G11" s="78">
        <v>42000</v>
      </c>
    </row>
    <row r="12" spans="2:7" ht="25.5" customHeight="1">
      <c r="B12" s="67" t="s">
        <v>574</v>
      </c>
      <c r="F12" s="78"/>
      <c r="G12" s="78">
        <v>165000</v>
      </c>
    </row>
    <row r="13" spans="2:7" ht="25.5" customHeight="1">
      <c r="B13" s="67" t="s">
        <v>471</v>
      </c>
      <c r="F13" s="78"/>
      <c r="G13" s="78">
        <v>546300</v>
      </c>
    </row>
    <row r="14" spans="2:7" ht="25.5" customHeight="1">
      <c r="B14" s="67" t="s">
        <v>19</v>
      </c>
      <c r="F14" s="78"/>
      <c r="G14" s="505">
        <v>22716.4</v>
      </c>
    </row>
    <row r="15" spans="2:8" ht="27" customHeight="1" hidden="1">
      <c r="B15" s="67" t="s">
        <v>18</v>
      </c>
      <c r="E15" s="86"/>
      <c r="G15" s="506" t="e">
        <f>#REF!</f>
        <v>#REF!</v>
      </c>
      <c r="H15" s="88"/>
    </row>
    <row r="16" spans="2:8" ht="25.5" customHeight="1" hidden="1">
      <c r="B16" s="67" t="s">
        <v>20</v>
      </c>
      <c r="E16" s="86"/>
      <c r="G16" s="506" t="e">
        <f>#REF!</f>
        <v>#REF!</v>
      </c>
      <c r="H16" s="88"/>
    </row>
    <row r="17" spans="2:11" ht="25.5" customHeight="1">
      <c r="B17" s="67" t="s">
        <v>318</v>
      </c>
      <c r="E17" s="86"/>
      <c r="G17" s="507">
        <v>66965</v>
      </c>
      <c r="H17" s="49">
        <v>842981.4</v>
      </c>
      <c r="K17" s="90"/>
    </row>
    <row r="18" spans="1:8" ht="25.5" customHeight="1" hidden="1">
      <c r="A18" s="67" t="s">
        <v>41</v>
      </c>
      <c r="E18" s="86"/>
      <c r="G18" s="87"/>
      <c r="H18" s="88" t="e">
        <f>#REF!</f>
        <v>#REF!</v>
      </c>
    </row>
    <row r="19" spans="1:8" ht="25.5" customHeight="1" hidden="1">
      <c r="A19" s="67" t="s">
        <v>134</v>
      </c>
      <c r="E19" s="86"/>
      <c r="G19" s="87"/>
      <c r="H19" s="88"/>
    </row>
    <row r="20" spans="1:8" ht="25.5" customHeight="1" hidden="1">
      <c r="A20" s="67" t="s">
        <v>152</v>
      </c>
      <c r="E20" s="68" t="s">
        <v>252</v>
      </c>
      <c r="G20" s="87"/>
      <c r="H20" s="88"/>
    </row>
    <row r="21" spans="5:11" ht="24" thickBot="1">
      <c r="E21" s="67" t="s">
        <v>3</v>
      </c>
      <c r="H21" s="89">
        <f>SUM(H7:H17)</f>
        <v>23206677.78</v>
      </c>
      <c r="I21" s="16"/>
      <c r="K21" s="90"/>
    </row>
    <row r="22" ht="26.25" thickTop="1">
      <c r="H22" s="91"/>
    </row>
    <row r="23" ht="23.25">
      <c r="E23" s="65" t="s">
        <v>33</v>
      </c>
    </row>
    <row r="24" spans="1:8" ht="24" thickBot="1">
      <c r="A24" s="67" t="s">
        <v>44</v>
      </c>
      <c r="E24" s="61" t="s">
        <v>45</v>
      </c>
      <c r="F24" s="82"/>
      <c r="H24" s="519">
        <f>H6</f>
        <v>8737845</v>
      </c>
    </row>
    <row r="25" spans="1:8" ht="23.25" customHeight="1" thickTop="1">
      <c r="A25" s="67" t="s">
        <v>46</v>
      </c>
      <c r="E25" s="61" t="s">
        <v>47</v>
      </c>
      <c r="F25" s="651"/>
      <c r="G25" s="651"/>
      <c r="H25" s="49">
        <v>1598471.85</v>
      </c>
    </row>
    <row r="26" spans="1:8" ht="23.25">
      <c r="A26" s="67" t="s">
        <v>7</v>
      </c>
      <c r="E26" s="61" t="s">
        <v>48</v>
      </c>
      <c r="F26" s="651"/>
      <c r="G26" s="651"/>
      <c r="H26" s="49">
        <v>2235303.35</v>
      </c>
    </row>
    <row r="27" spans="1:8" ht="23.25">
      <c r="A27" s="67" t="s">
        <v>101</v>
      </c>
      <c r="E27" s="61" t="s">
        <v>49</v>
      </c>
      <c r="F27" s="78"/>
      <c r="G27" s="78"/>
      <c r="H27" s="49">
        <v>900000</v>
      </c>
    </row>
    <row r="28" spans="1:8" ht="23.25">
      <c r="A28" s="67" t="s">
        <v>354</v>
      </c>
      <c r="E28" s="61" t="s">
        <v>102</v>
      </c>
      <c r="F28" s="78"/>
      <c r="G28" s="78"/>
      <c r="H28" s="49">
        <v>5780000</v>
      </c>
    </row>
    <row r="29" spans="1:8" ht="23.25">
      <c r="A29" s="67" t="s">
        <v>520</v>
      </c>
      <c r="E29" s="61"/>
      <c r="F29" s="78"/>
      <c r="G29" s="78"/>
      <c r="H29" s="49">
        <v>34882</v>
      </c>
    </row>
    <row r="30" spans="1:8" ht="23.25">
      <c r="A30" s="67" t="s">
        <v>0</v>
      </c>
      <c r="F30" s="651"/>
      <c r="G30" s="651"/>
      <c r="H30" s="94">
        <v>5715545.15</v>
      </c>
    </row>
    <row r="31" spans="1:11" s="92" customFormat="1" ht="23.25">
      <c r="A31" s="67" t="s">
        <v>37</v>
      </c>
      <c r="E31" s="61" t="s">
        <v>469</v>
      </c>
      <c r="F31" s="93"/>
      <c r="G31" s="93"/>
      <c r="H31" s="62">
        <v>6942475.43</v>
      </c>
      <c r="K31" s="767"/>
    </row>
    <row r="32" ht="24" thickBot="1">
      <c r="H32" s="89">
        <f>SUM(H25:H31)</f>
        <v>23206677.78</v>
      </c>
    </row>
    <row r="33" ht="24" thickTop="1">
      <c r="H33" s="54"/>
    </row>
    <row r="34" spans="1:9" ht="23.25">
      <c r="A34" s="650" t="s">
        <v>79</v>
      </c>
      <c r="B34" s="650"/>
      <c r="C34" s="650"/>
      <c r="D34" s="650" t="s">
        <v>59</v>
      </c>
      <c r="E34" s="650"/>
      <c r="F34" s="650"/>
      <c r="G34" s="650" t="s">
        <v>96</v>
      </c>
      <c r="H34" s="650"/>
      <c r="I34" s="95"/>
    </row>
    <row r="35" spans="1:8" ht="23.25">
      <c r="A35" s="650" t="s">
        <v>523</v>
      </c>
      <c r="B35" s="650"/>
      <c r="C35" s="650"/>
      <c r="D35" s="650" t="s">
        <v>524</v>
      </c>
      <c r="E35" s="650"/>
      <c r="F35" s="650"/>
      <c r="G35" s="650" t="s">
        <v>525</v>
      </c>
      <c r="H35" s="650"/>
    </row>
    <row r="36" spans="1:9" ht="23.25">
      <c r="A36" s="652" t="s">
        <v>432</v>
      </c>
      <c r="B36" s="652"/>
      <c r="C36" s="652"/>
      <c r="D36" s="650" t="s">
        <v>433</v>
      </c>
      <c r="E36" s="650"/>
      <c r="F36" s="650"/>
      <c r="G36" s="650" t="s">
        <v>558</v>
      </c>
      <c r="H36" s="650"/>
      <c r="I36" s="68"/>
    </row>
    <row r="37" spans="1:9" ht="23.25">
      <c r="A37" s="60"/>
      <c r="B37" s="60"/>
      <c r="C37" s="60"/>
      <c r="D37" s="61"/>
      <c r="E37" s="61"/>
      <c r="F37" s="61"/>
      <c r="G37" s="61"/>
      <c r="H37" s="61"/>
      <c r="I37" s="68"/>
    </row>
    <row r="38" spans="1:9" ht="23.25">
      <c r="A38" s="60"/>
      <c r="B38" s="60"/>
      <c r="C38" s="60"/>
      <c r="D38" s="61"/>
      <c r="E38" s="61"/>
      <c r="F38" s="61"/>
      <c r="G38" s="61"/>
      <c r="H38" s="559" t="s">
        <v>82</v>
      </c>
      <c r="I38" s="68"/>
    </row>
    <row r="39" spans="1:9" ht="23.25">
      <c r="A39" s="96" t="s">
        <v>35</v>
      </c>
      <c r="B39" s="96" t="s">
        <v>98</v>
      </c>
      <c r="C39" s="96"/>
      <c r="D39" s="96"/>
      <c r="E39" s="68"/>
      <c r="F39" s="68"/>
      <c r="G39" s="68"/>
      <c r="H39" s="95"/>
      <c r="I39" s="68"/>
    </row>
    <row r="40" spans="1:9" ht="23.25">
      <c r="A40" s="96"/>
      <c r="B40" s="96"/>
      <c r="C40" s="96"/>
      <c r="D40" s="96"/>
      <c r="E40" s="68"/>
      <c r="F40" s="68"/>
      <c r="G40" s="68"/>
      <c r="H40" s="95"/>
      <c r="I40" s="68"/>
    </row>
    <row r="41" spans="2:9" ht="23.25">
      <c r="B41" s="65" t="s">
        <v>158</v>
      </c>
      <c r="C41" s="65"/>
      <c r="D41" s="65"/>
      <c r="E41" s="65"/>
      <c r="G41" s="68"/>
      <c r="H41" s="95"/>
      <c r="I41" s="68"/>
    </row>
    <row r="42" spans="2:5" ht="23.25">
      <c r="B42" s="16" t="s">
        <v>95</v>
      </c>
      <c r="C42" s="16"/>
      <c r="D42" s="16"/>
      <c r="E42" s="16"/>
    </row>
    <row r="43" spans="1:9" ht="21" customHeight="1" hidden="1">
      <c r="A43" s="16"/>
      <c r="B43" s="67" t="s">
        <v>6</v>
      </c>
      <c r="G43" s="67"/>
      <c r="H43" s="49">
        <v>0</v>
      </c>
      <c r="I43" s="78"/>
    </row>
    <row r="44" spans="1:9" ht="23.25">
      <c r="A44" s="16"/>
      <c r="B44" s="67" t="s">
        <v>50</v>
      </c>
      <c r="G44" s="67"/>
      <c r="I44" s="78"/>
    </row>
    <row r="45" spans="1:9" ht="24.75" customHeight="1">
      <c r="A45" s="16"/>
      <c r="C45" s="67" t="s">
        <v>99</v>
      </c>
      <c r="F45" s="67" t="s">
        <v>51</v>
      </c>
      <c r="G45" s="67"/>
      <c r="H45" s="49">
        <f>13251227.48+707997.91+11920.72+72.82+141971.15+347447.5</f>
        <v>14460637.580000002</v>
      </c>
      <c r="I45" s="97"/>
    </row>
    <row r="46" spans="1:9" ht="24.75" customHeight="1">
      <c r="A46" s="16"/>
      <c r="F46" s="67" t="s">
        <v>426</v>
      </c>
      <c r="G46" s="67"/>
      <c r="H46" s="49">
        <v>1416378.58</v>
      </c>
      <c r="I46" s="97"/>
    </row>
    <row r="47" spans="1:9" ht="24.75" customHeight="1">
      <c r="A47" s="16"/>
      <c r="C47" s="67" t="s">
        <v>52</v>
      </c>
      <c r="F47" s="67" t="s">
        <v>368</v>
      </c>
      <c r="G47" s="67"/>
      <c r="H47" s="558" t="s">
        <v>502</v>
      </c>
      <c r="I47" s="97"/>
    </row>
    <row r="48" spans="1:9" ht="24.75" customHeight="1">
      <c r="A48" s="16"/>
      <c r="F48" s="67" t="s">
        <v>51</v>
      </c>
      <c r="G48" s="67"/>
      <c r="H48" s="49">
        <v>248796.16</v>
      </c>
      <c r="I48" s="97"/>
    </row>
    <row r="49" spans="6:8" ht="24" thickBot="1">
      <c r="F49" s="81" t="s">
        <v>4</v>
      </c>
      <c r="G49" s="98"/>
      <c r="H49" s="89">
        <f>SUM(H45:H48)</f>
        <v>16125812.320000002</v>
      </c>
    </row>
    <row r="50" ht="24" thickTop="1"/>
    <row r="51" ht="23.25">
      <c r="H51" s="559" t="s">
        <v>47</v>
      </c>
    </row>
    <row r="52" ht="23.25">
      <c r="B52" s="96" t="s">
        <v>46</v>
      </c>
    </row>
    <row r="53" spans="2:8" ht="23.25">
      <c r="B53" s="99" t="s">
        <v>153</v>
      </c>
      <c r="C53" s="16"/>
      <c r="D53" s="16"/>
      <c r="E53" s="16"/>
      <c r="G53" s="78"/>
      <c r="H53" s="78">
        <v>111318</v>
      </c>
    </row>
    <row r="54" spans="2:8" ht="23.25">
      <c r="B54" s="99" t="s">
        <v>702</v>
      </c>
      <c r="C54" s="16"/>
      <c r="D54" s="16"/>
      <c r="E54" s="16"/>
      <c r="G54" s="78"/>
      <c r="H54" s="78">
        <v>5492.57</v>
      </c>
    </row>
    <row r="55" spans="2:8" ht="23.25">
      <c r="B55" s="99" t="s">
        <v>584</v>
      </c>
      <c r="C55" s="16"/>
      <c r="D55" s="16"/>
      <c r="E55" s="16"/>
      <c r="F55" s="16"/>
      <c r="G55" s="100"/>
      <c r="H55" s="78">
        <v>42072.82</v>
      </c>
    </row>
    <row r="56" spans="2:8" ht="23.25">
      <c r="B56" s="99" t="s">
        <v>583</v>
      </c>
      <c r="C56" s="16"/>
      <c r="D56" s="16"/>
      <c r="E56" s="16"/>
      <c r="F56" s="16"/>
      <c r="G56" s="100"/>
      <c r="H56" s="78">
        <v>172971.15</v>
      </c>
    </row>
    <row r="57" spans="2:8" ht="23.25">
      <c r="B57" s="99" t="s">
        <v>703</v>
      </c>
      <c r="C57" s="16"/>
      <c r="D57" s="16"/>
      <c r="E57" s="16"/>
      <c r="F57" s="16"/>
      <c r="G57" s="100"/>
      <c r="H57" s="78">
        <v>1254297.91</v>
      </c>
    </row>
    <row r="58" spans="2:8" ht="23.25">
      <c r="B58" s="99" t="s">
        <v>704</v>
      </c>
      <c r="C58" s="16"/>
      <c r="D58" s="16"/>
      <c r="E58" s="16"/>
      <c r="F58" s="16"/>
      <c r="G58" s="100"/>
      <c r="H58" s="78">
        <v>12219.4</v>
      </c>
    </row>
    <row r="59" spans="2:8" ht="23.25">
      <c r="B59" s="99" t="s">
        <v>526</v>
      </c>
      <c r="C59" s="16"/>
      <c r="D59" s="16"/>
      <c r="E59" s="16"/>
      <c r="F59" s="16"/>
      <c r="G59" s="100"/>
      <c r="H59" s="78">
        <v>100</v>
      </c>
    </row>
    <row r="60" spans="2:8" ht="24" thickBot="1">
      <c r="B60" s="16"/>
      <c r="C60" s="16"/>
      <c r="E60" s="16"/>
      <c r="F60" s="81" t="s">
        <v>4</v>
      </c>
      <c r="G60" s="101"/>
      <c r="H60" s="102">
        <f>SUM(H53:H59)</f>
        <v>1598471.8499999999</v>
      </c>
    </row>
    <row r="61" ht="24" thickTop="1"/>
    <row r="63" ht="23.25">
      <c r="H63" s="560" t="s">
        <v>562</v>
      </c>
    </row>
    <row r="64" ht="23.25">
      <c r="B64" s="65" t="s">
        <v>561</v>
      </c>
    </row>
    <row r="65" spans="2:8" ht="23.25">
      <c r="B65" s="67" t="s">
        <v>319</v>
      </c>
      <c r="H65" s="49">
        <v>900000</v>
      </c>
    </row>
    <row r="66" spans="6:8" ht="24" thickBot="1">
      <c r="F66" s="81" t="s">
        <v>4</v>
      </c>
      <c r="G66" s="101"/>
      <c r="H66" s="102">
        <f>SUM(H64:H65)</f>
        <v>900000</v>
      </c>
    </row>
    <row r="67" ht="24" thickTop="1"/>
    <row r="68" ht="23.25">
      <c r="B68" s="333"/>
    </row>
    <row r="69" ht="23.25">
      <c r="H69" s="561" t="s">
        <v>469</v>
      </c>
    </row>
    <row r="70" spans="1:9" ht="23.25">
      <c r="A70" s="653" t="s">
        <v>557</v>
      </c>
      <c r="B70" s="653"/>
      <c r="C70" s="653"/>
      <c r="D70" s="653"/>
      <c r="E70" s="653"/>
      <c r="F70" s="653"/>
      <c r="G70" s="653"/>
      <c r="H70" s="653"/>
      <c r="I70" s="68"/>
    </row>
    <row r="71" spans="1:9" ht="23.25">
      <c r="A71" s="653" t="s">
        <v>53</v>
      </c>
      <c r="B71" s="653"/>
      <c r="C71" s="653"/>
      <c r="D71" s="653"/>
      <c r="E71" s="653"/>
      <c r="F71" s="653"/>
      <c r="G71" s="653"/>
      <c r="H71" s="653"/>
      <c r="I71" s="68"/>
    </row>
    <row r="72" spans="1:9" ht="23.25">
      <c r="A72" s="653" t="s">
        <v>586</v>
      </c>
      <c r="B72" s="653"/>
      <c r="C72" s="653"/>
      <c r="D72" s="653"/>
      <c r="E72" s="653"/>
      <c r="F72" s="653"/>
      <c r="G72" s="653"/>
      <c r="H72" s="653"/>
      <c r="I72" s="68"/>
    </row>
    <row r="73" ht="23.25">
      <c r="J73" s="103"/>
    </row>
    <row r="74" spans="1:9" s="92" customFormat="1" ht="23.25">
      <c r="A74" s="67" t="s">
        <v>587</v>
      </c>
      <c r="B74" s="67"/>
      <c r="C74" s="67"/>
      <c r="D74" s="67"/>
      <c r="E74" s="67"/>
      <c r="F74" s="67"/>
      <c r="G74" s="84"/>
      <c r="H74" s="66">
        <v>6773743.9</v>
      </c>
      <c r="I74" s="67"/>
    </row>
    <row r="75" spans="1:9" s="92" customFormat="1" ht="22.5" customHeight="1">
      <c r="A75" s="104"/>
      <c r="B75" s="67" t="s">
        <v>54</v>
      </c>
      <c r="C75" s="67"/>
      <c r="D75" s="67"/>
      <c r="E75" s="67"/>
      <c r="F75" s="49">
        <v>2172011.23</v>
      </c>
      <c r="G75" s="84"/>
      <c r="H75" s="49"/>
      <c r="I75" s="67"/>
    </row>
    <row r="76" spans="1:9" s="92" customFormat="1" ht="23.25">
      <c r="A76" s="104"/>
      <c r="B76" s="105" t="s">
        <v>157</v>
      </c>
      <c r="C76" s="67"/>
      <c r="D76" s="67"/>
      <c r="E76" s="67"/>
      <c r="F76" s="285">
        <v>-543002.81</v>
      </c>
      <c r="G76" s="84"/>
      <c r="H76" s="49"/>
      <c r="I76" s="67"/>
    </row>
    <row r="77" spans="1:9" s="92" customFormat="1" ht="22.5" customHeight="1">
      <c r="A77" s="104" t="s">
        <v>136</v>
      </c>
      <c r="B77" s="106" t="s">
        <v>137</v>
      </c>
      <c r="C77" s="67"/>
      <c r="D77" s="67"/>
      <c r="E77" s="67"/>
      <c r="F77" s="49"/>
      <c r="G77" s="84">
        <f>SUM(F75:F76)</f>
        <v>1629008.42</v>
      </c>
      <c r="H77" s="49"/>
      <c r="I77" s="67"/>
    </row>
    <row r="78" spans="1:9" s="92" customFormat="1" ht="22.5" customHeight="1">
      <c r="A78" s="104"/>
      <c r="B78" s="67" t="s">
        <v>573</v>
      </c>
      <c r="C78" s="67"/>
      <c r="D78" s="67"/>
      <c r="E78" s="67"/>
      <c r="F78" s="49"/>
      <c r="G78" s="84">
        <v>66291.14</v>
      </c>
      <c r="H78" s="49"/>
      <c r="I78" s="67"/>
    </row>
    <row r="79" spans="1:9" s="92" customFormat="1" ht="22.5" customHeight="1">
      <c r="A79" s="104" t="s">
        <v>55</v>
      </c>
      <c r="B79" s="90" t="s">
        <v>115</v>
      </c>
      <c r="C79" s="67"/>
      <c r="D79" s="67"/>
      <c r="E79" s="67"/>
      <c r="F79" s="49"/>
      <c r="G79" s="533">
        <v>-1526568.03</v>
      </c>
      <c r="H79" s="49">
        <f>SUM(G77:G79)</f>
        <v>168731.5299999998</v>
      </c>
      <c r="I79" s="67"/>
    </row>
    <row r="80" spans="1:9" s="92" customFormat="1" ht="22.5" customHeight="1">
      <c r="A80" s="104"/>
      <c r="B80" s="90"/>
      <c r="C80" s="67"/>
      <c r="D80" s="67"/>
      <c r="E80" s="67"/>
      <c r="F80" s="49"/>
      <c r="G80" s="562"/>
      <c r="H80" s="49"/>
      <c r="I80" s="67"/>
    </row>
    <row r="81" spans="1:8" ht="24" thickBot="1">
      <c r="A81" s="67" t="s">
        <v>588</v>
      </c>
      <c r="H81" s="107">
        <f>SUM(H74:H79)</f>
        <v>6942475.43</v>
      </c>
    </row>
    <row r="82" spans="6:8" ht="24" thickTop="1">
      <c r="F82" s="49"/>
      <c r="H82" s="49" t="s">
        <v>3</v>
      </c>
    </row>
    <row r="83" spans="1:6" ht="23.25">
      <c r="A83" s="67" t="s">
        <v>589</v>
      </c>
      <c r="F83" s="49"/>
    </row>
    <row r="84" spans="2:8" ht="23.25" customHeight="1">
      <c r="B84" s="67" t="s">
        <v>590</v>
      </c>
      <c r="H84" s="49">
        <f>G14</f>
        <v>22716.4</v>
      </c>
    </row>
    <row r="85" spans="2:8" ht="23.25" customHeight="1">
      <c r="B85" s="67" t="s">
        <v>438</v>
      </c>
      <c r="H85" s="49">
        <f>G17</f>
        <v>66965</v>
      </c>
    </row>
    <row r="86" spans="2:8" ht="23.25" customHeight="1" hidden="1">
      <c r="B86" s="67" t="s">
        <v>274</v>
      </c>
      <c r="H86" s="49">
        <f>H19</f>
        <v>0</v>
      </c>
    </row>
    <row r="87" ht="23.25" customHeight="1" hidden="1">
      <c r="B87" s="67" t="s">
        <v>275</v>
      </c>
    </row>
    <row r="88" spans="2:8" ht="23.25" customHeight="1">
      <c r="B88" s="67" t="s">
        <v>565</v>
      </c>
      <c r="H88" s="49">
        <v>457884.06</v>
      </c>
    </row>
    <row r="89" spans="2:8" ht="23.25">
      <c r="B89" s="67" t="s">
        <v>575</v>
      </c>
      <c r="H89" s="49">
        <f>H81-H84-H85-H88</f>
        <v>6394909.97</v>
      </c>
    </row>
    <row r="90" ht="24" thickBot="1">
      <c r="H90" s="107">
        <f>SUM(H84:H89)</f>
        <v>6942475.43</v>
      </c>
    </row>
    <row r="91" ht="24" thickTop="1"/>
    <row r="94" ht="23.25">
      <c r="B94" s="67" t="s">
        <v>591</v>
      </c>
    </row>
    <row r="95" ht="23.25">
      <c r="C95" s="67" t="s">
        <v>582</v>
      </c>
    </row>
  </sheetData>
  <sheetProtection/>
  <mergeCells count="21">
    <mergeCell ref="A1:H1"/>
    <mergeCell ref="F25:G25"/>
    <mergeCell ref="F30:G30"/>
    <mergeCell ref="A5:H5"/>
    <mergeCell ref="F26:G26"/>
    <mergeCell ref="A36:C36"/>
    <mergeCell ref="D36:F36"/>
    <mergeCell ref="A34:C34"/>
    <mergeCell ref="A3:H3"/>
    <mergeCell ref="A2:H2"/>
    <mergeCell ref="A35:C35"/>
    <mergeCell ref="A72:H72"/>
    <mergeCell ref="F7:G7"/>
    <mergeCell ref="F8:G8"/>
    <mergeCell ref="G35:H35"/>
    <mergeCell ref="D35:F35"/>
    <mergeCell ref="G34:H34"/>
    <mergeCell ref="D34:F34"/>
    <mergeCell ref="A71:H71"/>
    <mergeCell ref="G36:H36"/>
    <mergeCell ref="A70:H70"/>
  </mergeCells>
  <printOptions/>
  <pageMargins left="0.7480314960629921" right="0.35433070866141736" top="0.83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5" sqref="A5:A6"/>
    </sheetView>
  </sheetViews>
  <sheetFormatPr defaultColWidth="9.140625" defaultRowHeight="23.25"/>
  <cols>
    <col min="1" max="1" width="38.8515625" style="286" customWidth="1"/>
    <col min="2" max="3" width="14.7109375" style="288" customWidth="1"/>
    <col min="4" max="4" width="13.421875" style="286" customWidth="1"/>
    <col min="5" max="5" width="14.7109375" style="286" customWidth="1"/>
    <col min="6" max="6" width="25.57421875" style="286" bestFit="1" customWidth="1"/>
    <col min="7" max="7" width="9.140625" style="286" customWidth="1"/>
    <col min="8" max="8" width="10.7109375" style="286" customWidth="1"/>
    <col min="9" max="16384" width="9.140625" style="286" customWidth="1"/>
  </cols>
  <sheetData>
    <row r="1" spans="6:8" ht="23.25">
      <c r="F1" s="513" t="s">
        <v>320</v>
      </c>
      <c r="H1" s="286" t="s">
        <v>3</v>
      </c>
    </row>
    <row r="2" spans="1:8" ht="23.25">
      <c r="A2" s="656" t="s">
        <v>559</v>
      </c>
      <c r="B2" s="656"/>
      <c r="C2" s="656"/>
      <c r="D2" s="656"/>
      <c r="E2" s="656"/>
      <c r="F2" s="656"/>
      <c r="G2" s="303"/>
      <c r="H2" s="303"/>
    </row>
    <row r="3" spans="1:8" ht="23.25">
      <c r="A3" s="656" t="s">
        <v>641</v>
      </c>
      <c r="B3" s="656"/>
      <c r="C3" s="656"/>
      <c r="D3" s="656"/>
      <c r="E3" s="656"/>
      <c r="F3" s="656"/>
      <c r="G3" s="303"/>
      <c r="H3" s="303"/>
    </row>
    <row r="4" spans="1:8" ht="23.25">
      <c r="A4" s="695" t="s">
        <v>594</v>
      </c>
      <c r="B4" s="695"/>
      <c r="C4" s="695"/>
      <c r="D4" s="695"/>
      <c r="E4" s="695"/>
      <c r="F4" s="695"/>
      <c r="G4" s="303"/>
      <c r="H4" s="303"/>
    </row>
    <row r="5" spans="1:6" ht="23.25">
      <c r="A5" s="696" t="s">
        <v>60</v>
      </c>
      <c r="B5" s="698" t="s">
        <v>28</v>
      </c>
      <c r="C5" s="699"/>
      <c r="D5" s="700" t="s">
        <v>61</v>
      </c>
      <c r="E5" s="700" t="s">
        <v>69</v>
      </c>
      <c r="F5" s="700" t="s">
        <v>35</v>
      </c>
    </row>
    <row r="6" spans="1:6" ht="23.25">
      <c r="A6" s="697"/>
      <c r="B6" s="514" t="s">
        <v>62</v>
      </c>
      <c r="C6" s="514" t="s">
        <v>70</v>
      </c>
      <c r="D6" s="701"/>
      <c r="E6" s="701"/>
      <c r="F6" s="701"/>
    </row>
    <row r="7" spans="1:6" ht="24.75" customHeight="1">
      <c r="A7" s="517" t="s">
        <v>563</v>
      </c>
      <c r="B7" s="515">
        <v>29250</v>
      </c>
      <c r="C7" s="515"/>
      <c r="D7" s="516"/>
      <c r="E7" s="516">
        <f>SUM(B7+C7-D7)</f>
        <v>29250</v>
      </c>
      <c r="F7" s="516" t="s">
        <v>643</v>
      </c>
    </row>
    <row r="8" spans="1:6" ht="24.75" customHeight="1">
      <c r="A8" s="591"/>
      <c r="B8" s="293"/>
      <c r="C8" s="293"/>
      <c r="D8" s="592"/>
      <c r="E8" s="592"/>
      <c r="F8" s="592" t="s">
        <v>644</v>
      </c>
    </row>
    <row r="9" spans="1:6" ht="24.75" customHeight="1">
      <c r="A9" s="591"/>
      <c r="B9" s="293"/>
      <c r="C9" s="293"/>
      <c r="D9" s="592"/>
      <c r="E9" s="592"/>
      <c r="F9" s="592"/>
    </row>
    <row r="10" spans="1:6" ht="24.75" customHeight="1">
      <c r="A10" s="591" t="s">
        <v>564</v>
      </c>
      <c r="B10" s="293">
        <v>81911.35</v>
      </c>
      <c r="C10" s="293"/>
      <c r="D10" s="592"/>
      <c r="E10" s="592">
        <f>SUM(B10+C10-D10)</f>
        <v>81911.35</v>
      </c>
      <c r="F10" s="592" t="s">
        <v>645</v>
      </c>
    </row>
    <row r="11" spans="1:6" ht="23.25">
      <c r="A11" s="593" t="s">
        <v>599</v>
      </c>
      <c r="B11" s="293"/>
      <c r="C11" s="293"/>
      <c r="D11" s="592"/>
      <c r="E11" s="592" t="s">
        <v>3</v>
      </c>
      <c r="F11" s="592" t="s">
        <v>646</v>
      </c>
    </row>
    <row r="12" spans="1:6" ht="23.25">
      <c r="A12" s="593"/>
      <c r="B12" s="293"/>
      <c r="C12" s="293"/>
      <c r="D12" s="592"/>
      <c r="E12" s="592"/>
      <c r="F12" s="592"/>
    </row>
    <row r="13" spans="1:6" ht="23.25">
      <c r="A13" s="291" t="s">
        <v>595</v>
      </c>
      <c r="B13" s="293">
        <v>462650</v>
      </c>
      <c r="C13" s="293"/>
      <c r="D13" s="592"/>
      <c r="E13" s="592">
        <f>B13</f>
        <v>462650</v>
      </c>
      <c r="F13" s="592" t="s">
        <v>647</v>
      </c>
    </row>
    <row r="14" spans="1:6" ht="23.25">
      <c r="A14" s="593" t="s">
        <v>596</v>
      </c>
      <c r="B14" s="293"/>
      <c r="C14" s="293"/>
      <c r="D14" s="592"/>
      <c r="E14" s="592"/>
      <c r="F14" s="592" t="s">
        <v>648</v>
      </c>
    </row>
    <row r="15" spans="1:6" ht="23.25">
      <c r="A15" s="593"/>
      <c r="B15" s="293"/>
      <c r="C15" s="293"/>
      <c r="D15" s="592"/>
      <c r="E15" s="592"/>
      <c r="F15" s="592" t="s">
        <v>647</v>
      </c>
    </row>
    <row r="16" spans="1:6" ht="23.25">
      <c r="A16" s="593"/>
      <c r="B16" s="293"/>
      <c r="C16" s="293"/>
      <c r="D16" s="592"/>
      <c r="E16" s="592"/>
      <c r="F16" s="592" t="s">
        <v>649</v>
      </c>
    </row>
    <row r="17" spans="1:6" ht="23.25">
      <c r="A17" s="593"/>
      <c r="B17" s="293"/>
      <c r="C17" s="293"/>
      <c r="D17" s="592"/>
      <c r="E17" s="592"/>
      <c r="F17" s="592"/>
    </row>
    <row r="18" spans="1:6" ht="23.25">
      <c r="A18" s="291" t="s">
        <v>597</v>
      </c>
      <c r="B18" s="293">
        <v>497000</v>
      </c>
      <c r="C18" s="293"/>
      <c r="D18" s="592"/>
      <c r="E18" s="592">
        <f>B18</f>
        <v>497000</v>
      </c>
      <c r="F18" s="592" t="s">
        <v>650</v>
      </c>
    </row>
    <row r="19" spans="1:6" ht="23.25">
      <c r="A19" s="593" t="s">
        <v>598</v>
      </c>
      <c r="B19" s="293"/>
      <c r="C19" s="293"/>
      <c r="D19" s="592"/>
      <c r="E19" s="592"/>
      <c r="F19" s="592" t="s">
        <v>651</v>
      </c>
    </row>
    <row r="20" spans="1:6" ht="23.25">
      <c r="A20" s="593"/>
      <c r="B20" s="293"/>
      <c r="C20" s="293"/>
      <c r="D20" s="592"/>
      <c r="E20" s="592"/>
      <c r="F20" s="592"/>
    </row>
    <row r="21" spans="1:6" ht="23.25">
      <c r="A21" s="291" t="s">
        <v>600</v>
      </c>
      <c r="B21" s="293">
        <v>94000</v>
      </c>
      <c r="C21" s="293"/>
      <c r="D21" s="592"/>
      <c r="E21" s="592">
        <f>B21</f>
        <v>94000</v>
      </c>
      <c r="F21" s="592" t="s">
        <v>652</v>
      </c>
    </row>
    <row r="22" spans="1:6" ht="23.25">
      <c r="A22" s="593" t="s">
        <v>601</v>
      </c>
      <c r="B22" s="293"/>
      <c r="C22" s="293"/>
      <c r="D22" s="592"/>
      <c r="E22" s="592"/>
      <c r="F22" s="592" t="s">
        <v>653</v>
      </c>
    </row>
    <row r="23" spans="1:6" ht="23.25">
      <c r="A23" s="593"/>
      <c r="B23" s="293"/>
      <c r="C23" s="293"/>
      <c r="D23" s="592"/>
      <c r="E23" s="592"/>
      <c r="F23" s="592"/>
    </row>
    <row r="24" spans="1:6" ht="23.25">
      <c r="A24" s="291" t="s">
        <v>602</v>
      </c>
      <c r="B24" s="293"/>
      <c r="C24" s="293">
        <v>494000</v>
      </c>
      <c r="D24" s="592"/>
      <c r="E24" s="592">
        <f>C24</f>
        <v>494000</v>
      </c>
      <c r="F24" s="592" t="s">
        <v>642</v>
      </c>
    </row>
    <row r="25" spans="1:6" ht="23.25">
      <c r="A25" s="593" t="s">
        <v>603</v>
      </c>
      <c r="B25" s="293"/>
      <c r="C25" s="293"/>
      <c r="D25" s="592"/>
      <c r="E25" s="592"/>
      <c r="F25" s="592" t="s">
        <v>634</v>
      </c>
    </row>
    <row r="26" spans="1:6" ht="23.25">
      <c r="A26" s="593"/>
      <c r="B26" s="293"/>
      <c r="C26" s="293"/>
      <c r="D26" s="592"/>
      <c r="E26" s="592"/>
      <c r="F26" s="592" t="s">
        <v>654</v>
      </c>
    </row>
    <row r="27" spans="1:6" ht="23.25">
      <c r="A27" s="593"/>
      <c r="B27" s="293"/>
      <c r="C27" s="293"/>
      <c r="D27" s="592"/>
      <c r="E27" s="592"/>
      <c r="F27" s="592" t="s">
        <v>655</v>
      </c>
    </row>
    <row r="28" spans="1:6" ht="23.25">
      <c r="A28" s="593"/>
      <c r="B28" s="293"/>
      <c r="C28" s="293"/>
      <c r="D28" s="592"/>
      <c r="E28" s="592"/>
      <c r="F28" s="592"/>
    </row>
    <row r="29" spans="1:6" ht="23.25">
      <c r="A29" s="291" t="s">
        <v>600</v>
      </c>
      <c r="B29" s="293"/>
      <c r="C29" s="293">
        <v>576492</v>
      </c>
      <c r="D29" s="592"/>
      <c r="E29" s="592">
        <f>C29</f>
        <v>576492</v>
      </c>
      <c r="F29" s="592" t="s">
        <v>642</v>
      </c>
    </row>
    <row r="30" spans="1:6" ht="23.25">
      <c r="A30" s="642" t="s">
        <v>604</v>
      </c>
      <c r="B30" s="293"/>
      <c r="C30" s="293"/>
      <c r="D30" s="592"/>
      <c r="E30" s="592"/>
      <c r="F30" s="592" t="s">
        <v>634</v>
      </c>
    </row>
    <row r="31" spans="1:6" ht="23.25">
      <c r="A31" s="593"/>
      <c r="B31" s="293"/>
      <c r="C31" s="293"/>
      <c r="D31" s="592"/>
      <c r="E31" s="592"/>
      <c r="F31" s="592" t="s">
        <v>654</v>
      </c>
    </row>
    <row r="32" spans="1:6" ht="23.25">
      <c r="A32" s="594"/>
      <c r="B32" s="515"/>
      <c r="C32" s="515"/>
      <c r="D32" s="516"/>
      <c r="E32" s="516"/>
      <c r="F32" s="592" t="s">
        <v>655</v>
      </c>
    </row>
    <row r="33" spans="1:6" ht="24" thickBot="1">
      <c r="A33" s="518" t="s">
        <v>4</v>
      </c>
      <c r="B33" s="305">
        <f>SUM(B7:B32)</f>
        <v>1164811.35</v>
      </c>
      <c r="C33" s="305">
        <f>SUM(C7:C32)</f>
        <v>1070492</v>
      </c>
      <c r="D33" s="305">
        <f>SUM(D10:D11)</f>
        <v>0</v>
      </c>
      <c r="E33" s="305">
        <f>SUM(E7:E32)</f>
        <v>2235303.35</v>
      </c>
      <c r="F33" s="305" t="s">
        <v>3</v>
      </c>
    </row>
    <row r="34" spans="4:6" ht="24" thickTop="1">
      <c r="D34" s="306"/>
      <c r="E34" s="306"/>
      <c r="F34" s="306"/>
    </row>
  </sheetData>
  <sheetProtection/>
  <mergeCells count="8">
    <mergeCell ref="A2:F2"/>
    <mergeCell ref="A3:F3"/>
    <mergeCell ref="A4:F4"/>
    <mergeCell ref="A5:A6"/>
    <mergeCell ref="B5:C5"/>
    <mergeCell ref="D5:D6"/>
    <mergeCell ref="E5:E6"/>
    <mergeCell ref="F5:F6"/>
  </mergeCells>
  <printOptions/>
  <pageMargins left="0.16" right="0.16" top="0.42" bottom="1" header="0.41" footer="0.5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O1"/>
    </sheetView>
  </sheetViews>
  <sheetFormatPr defaultColWidth="9.140625" defaultRowHeight="23.25"/>
  <cols>
    <col min="1" max="1" width="26.28125" style="534" customWidth="1"/>
    <col min="2" max="2" width="12.8515625" style="534" customWidth="1"/>
    <col min="3" max="3" width="13.57421875" style="534" customWidth="1"/>
    <col min="4" max="4" width="13.421875" style="534" customWidth="1"/>
    <col min="5" max="5" width="10.00390625" style="534" customWidth="1"/>
    <col min="6" max="6" width="12.8515625" style="534" customWidth="1"/>
    <col min="7" max="7" width="11.00390625" style="534" customWidth="1"/>
    <col min="8" max="8" width="9.8515625" style="534" customWidth="1"/>
    <col min="9" max="9" width="12.28125" style="534" customWidth="1"/>
    <col min="10" max="10" width="10.7109375" style="534" customWidth="1"/>
    <col min="11" max="11" width="12.28125" style="534" customWidth="1"/>
    <col min="12" max="12" width="11.7109375" style="534" customWidth="1"/>
    <col min="13" max="13" width="10.28125" style="534" customWidth="1"/>
    <col min="14" max="14" width="7.00390625" style="534" customWidth="1"/>
    <col min="15" max="15" width="11.8515625" style="534" customWidth="1"/>
    <col min="16" max="16" width="9.140625" style="534" customWidth="1"/>
    <col min="17" max="17" width="16.421875" style="534" customWidth="1"/>
    <col min="18" max="16384" width="9.140625" style="534" customWidth="1"/>
  </cols>
  <sheetData>
    <row r="1" spans="1:15" ht="19.5">
      <c r="A1" s="702" t="s">
        <v>527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</row>
    <row r="2" spans="1:15" ht="19.5">
      <c r="A2" s="702" t="s">
        <v>83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</row>
    <row r="3" spans="1:15" ht="19.5">
      <c r="A3" s="702" t="s">
        <v>585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</row>
    <row r="4" spans="1:15" ht="19.5">
      <c r="A4" s="535" t="s">
        <v>5</v>
      </c>
      <c r="B4" s="535" t="s">
        <v>528</v>
      </c>
      <c r="C4" s="535" t="s">
        <v>4</v>
      </c>
      <c r="D4" s="535" t="s">
        <v>84</v>
      </c>
      <c r="E4" s="535" t="s">
        <v>85</v>
      </c>
      <c r="F4" s="535" t="s">
        <v>109</v>
      </c>
      <c r="G4" s="535" t="s">
        <v>89</v>
      </c>
      <c r="H4" s="535" t="s">
        <v>140</v>
      </c>
      <c r="I4" s="535" t="s">
        <v>529</v>
      </c>
      <c r="J4" s="535" t="s">
        <v>86</v>
      </c>
      <c r="K4" s="535" t="s">
        <v>87</v>
      </c>
      <c r="L4" s="535" t="s">
        <v>141</v>
      </c>
      <c r="M4" s="535" t="s">
        <v>143</v>
      </c>
      <c r="N4" s="535" t="s">
        <v>530</v>
      </c>
      <c r="O4" s="535" t="s">
        <v>8</v>
      </c>
    </row>
    <row r="5" spans="1:15" ht="19.5">
      <c r="A5" s="536"/>
      <c r="B5" s="536"/>
      <c r="C5" s="536"/>
      <c r="D5" s="536" t="s">
        <v>88</v>
      </c>
      <c r="E5" s="536" t="s">
        <v>531</v>
      </c>
      <c r="F5" s="536"/>
      <c r="G5" s="536"/>
      <c r="H5" s="536" t="s">
        <v>142</v>
      </c>
      <c r="I5" s="536" t="s">
        <v>532</v>
      </c>
      <c r="J5" s="536" t="s">
        <v>90</v>
      </c>
      <c r="K5" s="536" t="s">
        <v>533</v>
      </c>
      <c r="L5" s="536" t="s">
        <v>144</v>
      </c>
      <c r="M5" s="536"/>
      <c r="N5" s="536" t="s">
        <v>308</v>
      </c>
      <c r="O5" s="536"/>
    </row>
    <row r="6" spans="1:15" ht="19.5">
      <c r="A6" s="536"/>
      <c r="B6" s="536"/>
      <c r="C6" s="536"/>
      <c r="D6" s="536"/>
      <c r="E6" s="536" t="s">
        <v>534</v>
      </c>
      <c r="F6" s="536"/>
      <c r="G6" s="536"/>
      <c r="H6" s="536"/>
      <c r="I6" s="536"/>
      <c r="J6" s="536" t="s">
        <v>535</v>
      </c>
      <c r="K6" s="536" t="s">
        <v>91</v>
      </c>
      <c r="L6" s="536" t="s">
        <v>536</v>
      </c>
      <c r="M6" s="536"/>
      <c r="N6" s="537"/>
      <c r="O6" s="537"/>
    </row>
    <row r="7" spans="1:15" ht="19.5">
      <c r="A7" s="538" t="s">
        <v>94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</row>
    <row r="8" spans="1:17" ht="19.5">
      <c r="A8" s="540" t="s">
        <v>537</v>
      </c>
      <c r="B8" s="541">
        <v>3954500</v>
      </c>
      <c r="C8" s="541">
        <f aca="true" t="shared" si="0" ref="C8:C20">SUM(D8:O8)</f>
        <v>3912338</v>
      </c>
      <c r="D8" s="541">
        <f>2699710+119144+58995+118950+58995</f>
        <v>3055794</v>
      </c>
      <c r="E8" s="541"/>
      <c r="F8" s="541">
        <f>249638+26810+26810+69226</f>
        <v>372484</v>
      </c>
      <c r="G8" s="541"/>
      <c r="H8" s="541"/>
      <c r="I8" s="541">
        <f>402240+40910+40910</f>
        <v>484060</v>
      </c>
      <c r="J8" s="541"/>
      <c r="K8" s="541"/>
      <c r="L8" s="541"/>
      <c r="M8" s="541"/>
      <c r="N8" s="541"/>
      <c r="O8" s="541"/>
      <c r="Q8" s="542"/>
    </row>
    <row r="9" spans="1:17" ht="19.5">
      <c r="A9" s="540" t="s">
        <v>538</v>
      </c>
      <c r="B9" s="541">
        <v>175920</v>
      </c>
      <c r="C9" s="541">
        <f t="shared" si="0"/>
        <v>144480</v>
      </c>
      <c r="D9" s="541">
        <f>119910+12285+12285</f>
        <v>144480</v>
      </c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Q9" s="542"/>
    </row>
    <row r="10" spans="1:17" ht="19.5">
      <c r="A10" s="540" t="s">
        <v>539</v>
      </c>
      <c r="B10" s="541">
        <v>891320</v>
      </c>
      <c r="C10" s="541">
        <f t="shared" si="0"/>
        <v>1033680</v>
      </c>
      <c r="D10" s="541">
        <f>338760+27000+9000+27000+9000</f>
        <v>410760</v>
      </c>
      <c r="E10" s="541"/>
      <c r="F10" s="587">
        <f>279800+9000+9560-13660+66060</f>
        <v>350760</v>
      </c>
      <c r="G10" s="541"/>
      <c r="H10" s="541"/>
      <c r="I10" s="588">
        <f>218160+27000+27000</f>
        <v>272160</v>
      </c>
      <c r="J10" s="541"/>
      <c r="K10" s="541"/>
      <c r="L10" s="541"/>
      <c r="M10" s="541"/>
      <c r="N10" s="541"/>
      <c r="O10" s="541"/>
      <c r="Q10" s="542"/>
    </row>
    <row r="11" spans="1:17" ht="19.5">
      <c r="A11" s="540" t="s">
        <v>540</v>
      </c>
      <c r="B11" s="541">
        <v>2663400</v>
      </c>
      <c r="C11" s="541">
        <f t="shared" si="0"/>
        <v>2517420</v>
      </c>
      <c r="D11" s="541">
        <f>1400261+17890+47379+917966+6930</f>
        <v>2390426</v>
      </c>
      <c r="E11" s="541"/>
      <c r="F11" s="541">
        <f>62057+12050+23685</f>
        <v>97792</v>
      </c>
      <c r="G11" s="541"/>
      <c r="H11" s="541"/>
      <c r="I11" s="541">
        <f>18440+1702+6268+1702+1090</f>
        <v>29202</v>
      </c>
      <c r="J11" s="541"/>
      <c r="K11" s="541"/>
      <c r="L11" s="541"/>
      <c r="M11" s="541"/>
      <c r="N11" s="541"/>
      <c r="O11" s="541"/>
      <c r="Q11" s="542"/>
    </row>
    <row r="12" spans="1:17" ht="19.5">
      <c r="A12" s="540" t="s">
        <v>541</v>
      </c>
      <c r="B12" s="541">
        <v>2243000</v>
      </c>
      <c r="C12" s="541">
        <f t="shared" si="0"/>
        <v>1252932</v>
      </c>
      <c r="D12" s="541">
        <v>278013</v>
      </c>
      <c r="E12" s="541">
        <f>9400</f>
        <v>9400</v>
      </c>
      <c r="F12" s="541">
        <v>361090</v>
      </c>
      <c r="G12" s="541">
        <v>38100</v>
      </c>
      <c r="H12" s="541"/>
      <c r="I12" s="541">
        <f>13450+52864</f>
        <v>66314</v>
      </c>
      <c r="J12" s="541">
        <f>60000</f>
        <v>60000</v>
      </c>
      <c r="K12" s="541">
        <f>392990+5885+2000</f>
        <v>400875</v>
      </c>
      <c r="L12" s="541"/>
      <c r="M12" s="541">
        <v>39140</v>
      </c>
      <c r="N12" s="541"/>
      <c r="O12" s="541"/>
      <c r="Q12" s="542"/>
    </row>
    <row r="13" spans="1:17" ht="19.5">
      <c r="A13" s="540" t="s">
        <v>542</v>
      </c>
      <c r="B13" s="541">
        <v>1437800</v>
      </c>
      <c r="C13" s="541">
        <f t="shared" si="0"/>
        <v>1209766.46</v>
      </c>
      <c r="D13" s="541">
        <f>151536.8+11680+6276.8+63910+56930.2</f>
        <v>290333.8</v>
      </c>
      <c r="E13" s="541"/>
      <c r="F13" s="541">
        <f>303598.29+19950+36856.82+45000+115417.55</f>
        <v>520822.66</v>
      </c>
      <c r="G13" s="541"/>
      <c r="H13" s="541"/>
      <c r="I13" s="541">
        <f>123450+72653+167525</f>
        <v>363628</v>
      </c>
      <c r="J13" s="541"/>
      <c r="K13" s="541">
        <f>34982</f>
        <v>34982</v>
      </c>
      <c r="L13" s="541"/>
      <c r="M13" s="541"/>
      <c r="N13" s="541"/>
      <c r="O13" s="541"/>
      <c r="Q13" s="542"/>
    </row>
    <row r="14" spans="1:17" ht="19.5">
      <c r="A14" s="540" t="s">
        <v>543</v>
      </c>
      <c r="B14" s="541">
        <v>623000</v>
      </c>
      <c r="C14" s="541">
        <f t="shared" si="0"/>
        <v>580668.78</v>
      </c>
      <c r="D14" s="541">
        <f>406339.59+52497.75+2721+119110.44</f>
        <v>580668.78</v>
      </c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Q14" s="542"/>
    </row>
    <row r="15" spans="1:17" ht="19.5">
      <c r="A15" s="540" t="s">
        <v>544</v>
      </c>
      <c r="B15" s="541">
        <v>1221650</v>
      </c>
      <c r="C15" s="541">
        <f t="shared" si="0"/>
        <v>1186450</v>
      </c>
      <c r="D15" s="541">
        <f>10000</f>
        <v>10000</v>
      </c>
      <c r="E15" s="541"/>
      <c r="F15" s="541">
        <v>488800</v>
      </c>
      <c r="G15" s="541">
        <v>90000</v>
      </c>
      <c r="H15" s="541">
        <v>10000</v>
      </c>
      <c r="I15" s="541">
        <f>462650</f>
        <v>462650</v>
      </c>
      <c r="J15" s="541">
        <f>30000</f>
        <v>30000</v>
      </c>
      <c r="K15" s="541">
        <f>50000+45000</f>
        <v>95000</v>
      </c>
      <c r="L15" s="541"/>
      <c r="M15" s="541"/>
      <c r="N15" s="541"/>
      <c r="O15" s="541"/>
      <c r="Q15" s="542"/>
    </row>
    <row r="16" spans="1:17" ht="19.5">
      <c r="A16" s="540" t="s">
        <v>545</v>
      </c>
      <c r="B16" s="541">
        <v>50000</v>
      </c>
      <c r="C16" s="541">
        <f t="shared" si="0"/>
        <v>11735.5</v>
      </c>
      <c r="D16" s="541"/>
      <c r="E16" s="541">
        <f>8639.5+3096</f>
        <v>11735.5</v>
      </c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Q16" s="542"/>
    </row>
    <row r="17" spans="1:17" ht="19.5">
      <c r="A17" s="540" t="s">
        <v>546</v>
      </c>
      <c r="B17" s="541">
        <v>967910</v>
      </c>
      <c r="C17" s="541">
        <f t="shared" si="0"/>
        <v>7495154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89">
        <f>6772350+105208-478+618074</f>
        <v>7495154</v>
      </c>
      <c r="Q17" s="542"/>
    </row>
    <row r="18" spans="1:17" ht="19.5">
      <c r="A18" s="540" t="s">
        <v>663</v>
      </c>
      <c r="B18" s="541">
        <v>1013000</v>
      </c>
      <c r="C18" s="541">
        <f t="shared" si="0"/>
        <v>637300</v>
      </c>
      <c r="D18" s="541">
        <f>9800+2500</f>
        <v>12300</v>
      </c>
      <c r="E18" s="541"/>
      <c r="F18" s="541">
        <f>29000+5000+45000+29500</f>
        <v>108500</v>
      </c>
      <c r="G18" s="541"/>
      <c r="H18" s="541"/>
      <c r="I18" s="541">
        <f>516500</f>
        <v>516500</v>
      </c>
      <c r="J18" s="541"/>
      <c r="K18" s="541"/>
      <c r="L18" s="541"/>
      <c r="M18" s="541"/>
      <c r="N18" s="541"/>
      <c r="O18" s="541"/>
      <c r="Q18" s="542"/>
    </row>
    <row r="19" spans="1:17" ht="19.5">
      <c r="A19" s="543" t="s">
        <v>664</v>
      </c>
      <c r="B19" s="544">
        <v>2124000</v>
      </c>
      <c r="C19" s="541">
        <f t="shared" si="0"/>
        <v>7076492</v>
      </c>
      <c r="D19" s="544"/>
      <c r="E19" s="544"/>
      <c r="F19" s="544"/>
      <c r="G19" s="544"/>
      <c r="H19" s="544"/>
      <c r="I19" s="544">
        <v>497000</v>
      </c>
      <c r="J19" s="544"/>
      <c r="K19" s="544"/>
      <c r="L19" s="544">
        <f>799492+5780000</f>
        <v>6579492</v>
      </c>
      <c r="M19" s="544"/>
      <c r="N19" s="544"/>
      <c r="O19" s="544"/>
      <c r="Q19" s="542"/>
    </row>
    <row r="20" spans="1:15" ht="20.25" thickBot="1">
      <c r="A20" s="545" t="s">
        <v>4</v>
      </c>
      <c r="B20" s="546">
        <f>SUM(B8:B19)</f>
        <v>17365500</v>
      </c>
      <c r="C20" s="546">
        <f t="shared" si="0"/>
        <v>27058416.740000002</v>
      </c>
      <c r="D20" s="546">
        <f aca="true" t="shared" si="1" ref="D20:O20">SUM(D8:D19)</f>
        <v>7172775.58</v>
      </c>
      <c r="E20" s="546">
        <f t="shared" si="1"/>
        <v>21135.5</v>
      </c>
      <c r="F20" s="546">
        <f t="shared" si="1"/>
        <v>2300248.66</v>
      </c>
      <c r="G20" s="546">
        <f t="shared" si="1"/>
        <v>128100</v>
      </c>
      <c r="H20" s="546">
        <f t="shared" si="1"/>
        <v>10000</v>
      </c>
      <c r="I20" s="546">
        <f t="shared" si="1"/>
        <v>2691514</v>
      </c>
      <c r="J20" s="546">
        <f t="shared" si="1"/>
        <v>90000</v>
      </c>
      <c r="K20" s="546">
        <f t="shared" si="1"/>
        <v>530857</v>
      </c>
      <c r="L20" s="546">
        <f t="shared" si="1"/>
        <v>6579492</v>
      </c>
      <c r="M20" s="546">
        <f t="shared" si="1"/>
        <v>39140</v>
      </c>
      <c r="N20" s="546">
        <f t="shared" si="1"/>
        <v>0</v>
      </c>
      <c r="O20" s="546">
        <f t="shared" si="1"/>
        <v>7495154</v>
      </c>
    </row>
    <row r="21" spans="1:15" ht="20.25" thickTop="1">
      <c r="A21" s="547" t="s">
        <v>17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</row>
    <row r="22" spans="1:15" ht="19.5">
      <c r="A22" s="548" t="s">
        <v>547</v>
      </c>
      <c r="B22" s="541">
        <f>726500-600000</f>
        <v>126500</v>
      </c>
      <c r="C22" s="541">
        <v>143567.2</v>
      </c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</row>
    <row r="23" spans="1:17" ht="19.5">
      <c r="A23" s="548" t="s">
        <v>548</v>
      </c>
      <c r="B23" s="541">
        <v>28500</v>
      </c>
      <c r="C23" s="541">
        <v>276900</v>
      </c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Q23" s="590"/>
    </row>
    <row r="24" spans="1:15" ht="19.5">
      <c r="A24" s="549" t="s">
        <v>92</v>
      </c>
      <c r="B24" s="541">
        <v>50000</v>
      </c>
      <c r="C24" s="550">
        <v>115295.33</v>
      </c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</row>
    <row r="25" spans="1:15" ht="19.5">
      <c r="A25" s="548" t="s">
        <v>549</v>
      </c>
      <c r="B25" s="541">
        <v>603000</v>
      </c>
      <c r="C25" s="541">
        <v>641700</v>
      </c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</row>
    <row r="26" spans="1:15" ht="19.5">
      <c r="A26" s="548" t="s">
        <v>550</v>
      </c>
      <c r="B26" s="541">
        <v>52500</v>
      </c>
      <c r="C26" s="541">
        <v>11030</v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</row>
    <row r="27" spans="1:15" ht="19.5">
      <c r="A27" s="548" t="s">
        <v>551</v>
      </c>
      <c r="B27" s="550" t="s">
        <v>502</v>
      </c>
      <c r="C27" s="550" t="s">
        <v>502</v>
      </c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</row>
    <row r="28" spans="1:15" ht="19.5">
      <c r="A28" s="548" t="s">
        <v>552</v>
      </c>
      <c r="B28" s="541">
        <f>9905000+600000</f>
        <v>10505000</v>
      </c>
      <c r="C28" s="541">
        <v>10767050.44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</row>
    <row r="29" spans="1:15" ht="19.5">
      <c r="A29" s="548" t="s">
        <v>553</v>
      </c>
      <c r="B29" s="541">
        <v>6000000</v>
      </c>
      <c r="C29" s="541">
        <v>4291704</v>
      </c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</row>
    <row r="30" spans="1:15" ht="19.5">
      <c r="A30" s="549" t="s">
        <v>554</v>
      </c>
      <c r="B30" s="550" t="s">
        <v>502</v>
      </c>
      <c r="C30" s="550">
        <v>0</v>
      </c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</row>
    <row r="31" spans="1:15" ht="19.5">
      <c r="A31" s="551" t="s">
        <v>555</v>
      </c>
      <c r="B31" s="552" t="s">
        <v>502</v>
      </c>
      <c r="C31" s="553">
        <f>5780000+7203181</f>
        <v>12983181</v>
      </c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</row>
    <row r="32" spans="1:15" ht="20.25" thickBot="1">
      <c r="A32" s="554" t="s">
        <v>93</v>
      </c>
      <c r="B32" s="555">
        <f>SUM(B22:B31)</f>
        <v>17365500</v>
      </c>
      <c r="C32" s="555">
        <f>SUM(C22:C31)</f>
        <v>29230427.97</v>
      </c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</row>
    <row r="33" spans="1:3" ht="21" thickBot="1" thickTop="1">
      <c r="A33" s="534" t="s">
        <v>556</v>
      </c>
      <c r="C33" s="557">
        <f>C32-C20</f>
        <v>2172011.2299999967</v>
      </c>
    </row>
    <row r="34" ht="20.25" thickTop="1"/>
    <row r="36" spans="3:4" ht="19.5">
      <c r="C36" s="542"/>
      <c r="D36" s="542"/>
    </row>
    <row r="37" spans="3:4" ht="19.5">
      <c r="C37" s="542"/>
      <c r="D37" s="542"/>
    </row>
  </sheetData>
  <sheetProtection/>
  <mergeCells count="3">
    <mergeCell ref="A1:O1"/>
    <mergeCell ref="A2:O2"/>
    <mergeCell ref="A3:O3"/>
  </mergeCells>
  <printOptions/>
  <pageMargins left="0.07874015748031496" right="0.07874015748031496" top="0.34" bottom="0.16" header="0.34" footer="0.16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2" sqref="A2:O2"/>
    </sheetView>
  </sheetViews>
  <sheetFormatPr defaultColWidth="9.140625" defaultRowHeight="23.25"/>
  <cols>
    <col min="1" max="1" width="26.28125" style="534" customWidth="1"/>
    <col min="2" max="2" width="12.8515625" style="534" customWidth="1"/>
    <col min="3" max="3" width="13.57421875" style="534" customWidth="1"/>
    <col min="4" max="4" width="11.00390625" style="534" customWidth="1"/>
    <col min="5" max="5" width="10.00390625" style="534" customWidth="1"/>
    <col min="6" max="6" width="12.8515625" style="534" customWidth="1"/>
    <col min="7" max="7" width="10.7109375" style="534" customWidth="1"/>
    <col min="8" max="8" width="9.8515625" style="534" customWidth="1"/>
    <col min="9" max="9" width="12.28125" style="534" customWidth="1"/>
    <col min="10" max="10" width="10.7109375" style="534" customWidth="1"/>
    <col min="11" max="11" width="12.28125" style="534" customWidth="1"/>
    <col min="12" max="12" width="11.7109375" style="534" customWidth="1"/>
    <col min="13" max="13" width="10.28125" style="534" customWidth="1"/>
    <col min="14" max="14" width="7.8515625" style="534" customWidth="1"/>
    <col min="15" max="15" width="12.8515625" style="534" customWidth="1"/>
    <col min="16" max="16" width="9.140625" style="534" customWidth="1"/>
    <col min="17" max="17" width="16.421875" style="534" customWidth="1"/>
    <col min="18" max="16384" width="9.140625" style="534" customWidth="1"/>
  </cols>
  <sheetData>
    <row r="1" spans="1:15" ht="19.5">
      <c r="A1" s="702" t="s">
        <v>527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</row>
    <row r="2" spans="1:15" ht="19.5">
      <c r="A2" s="702" t="s">
        <v>700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</row>
    <row r="3" spans="1:15" ht="19.5">
      <c r="A3" s="702" t="s">
        <v>585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</row>
    <row r="4" spans="1:15" ht="19.5">
      <c r="A4" s="535" t="s">
        <v>5</v>
      </c>
      <c r="B4" s="535" t="s">
        <v>528</v>
      </c>
      <c r="C4" s="535" t="s">
        <v>4</v>
      </c>
      <c r="D4" s="535" t="s">
        <v>84</v>
      </c>
      <c r="E4" s="535" t="s">
        <v>85</v>
      </c>
      <c r="F4" s="535" t="s">
        <v>109</v>
      </c>
      <c r="G4" s="535" t="s">
        <v>89</v>
      </c>
      <c r="H4" s="535" t="s">
        <v>140</v>
      </c>
      <c r="I4" s="535" t="s">
        <v>529</v>
      </c>
      <c r="J4" s="535" t="s">
        <v>86</v>
      </c>
      <c r="K4" s="535" t="s">
        <v>87</v>
      </c>
      <c r="L4" s="535" t="s">
        <v>141</v>
      </c>
      <c r="M4" s="535" t="s">
        <v>143</v>
      </c>
      <c r="N4" s="535" t="s">
        <v>530</v>
      </c>
      <c r="O4" s="535" t="s">
        <v>8</v>
      </c>
    </row>
    <row r="5" spans="1:15" ht="19.5">
      <c r="A5" s="536"/>
      <c r="B5" s="536"/>
      <c r="C5" s="536"/>
      <c r="D5" s="536" t="s">
        <v>88</v>
      </c>
      <c r="E5" s="536" t="s">
        <v>531</v>
      </c>
      <c r="F5" s="536"/>
      <c r="G5" s="536"/>
      <c r="H5" s="536" t="s">
        <v>142</v>
      </c>
      <c r="I5" s="536" t="s">
        <v>532</v>
      </c>
      <c r="J5" s="536" t="s">
        <v>90</v>
      </c>
      <c r="K5" s="536" t="s">
        <v>533</v>
      </c>
      <c r="L5" s="536" t="s">
        <v>144</v>
      </c>
      <c r="M5" s="536"/>
      <c r="N5" s="536" t="s">
        <v>308</v>
      </c>
      <c r="O5" s="536"/>
    </row>
    <row r="6" spans="1:15" ht="19.5">
      <c r="A6" s="536"/>
      <c r="B6" s="536"/>
      <c r="C6" s="536"/>
      <c r="D6" s="536"/>
      <c r="E6" s="536" t="s">
        <v>534</v>
      </c>
      <c r="F6" s="536"/>
      <c r="G6" s="536"/>
      <c r="H6" s="536"/>
      <c r="I6" s="536"/>
      <c r="J6" s="536" t="s">
        <v>535</v>
      </c>
      <c r="K6" s="536" t="s">
        <v>91</v>
      </c>
      <c r="L6" s="536" t="s">
        <v>536</v>
      </c>
      <c r="M6" s="536"/>
      <c r="N6" s="537"/>
      <c r="O6" s="537"/>
    </row>
    <row r="7" spans="1:15" ht="19.5">
      <c r="A7" s="538" t="s">
        <v>94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</row>
    <row r="8" spans="1:17" ht="19.5">
      <c r="A8" s="540" t="s">
        <v>537</v>
      </c>
      <c r="B8" s="541">
        <v>122904</v>
      </c>
      <c r="C8" s="541">
        <f aca="true" t="shared" si="0" ref="C8:C20">SUM(D8:O8)</f>
        <v>122904</v>
      </c>
      <c r="D8" s="541"/>
      <c r="E8" s="541"/>
      <c r="F8" s="541">
        <v>122904</v>
      </c>
      <c r="G8" s="541"/>
      <c r="H8" s="541"/>
      <c r="I8" s="541"/>
      <c r="J8" s="541"/>
      <c r="K8" s="541"/>
      <c r="L8" s="541"/>
      <c r="M8" s="541"/>
      <c r="N8" s="541"/>
      <c r="O8" s="541"/>
      <c r="Q8" s="542"/>
    </row>
    <row r="9" spans="1:17" ht="19.5">
      <c r="A9" s="540" t="s">
        <v>538</v>
      </c>
      <c r="B9" s="541">
        <v>0</v>
      </c>
      <c r="C9" s="541">
        <f t="shared" si="0"/>
        <v>0</v>
      </c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Q9" s="542"/>
    </row>
    <row r="10" spans="1:17" ht="19.5">
      <c r="A10" s="540" t="s">
        <v>539</v>
      </c>
      <c r="B10" s="541">
        <v>253020</v>
      </c>
      <c r="C10" s="541">
        <f t="shared" si="0"/>
        <v>253020</v>
      </c>
      <c r="D10" s="541"/>
      <c r="E10" s="541"/>
      <c r="F10" s="587">
        <v>253020</v>
      </c>
      <c r="G10" s="541"/>
      <c r="H10" s="541"/>
      <c r="I10" s="588"/>
      <c r="J10" s="541"/>
      <c r="K10" s="541"/>
      <c r="L10" s="541"/>
      <c r="M10" s="541"/>
      <c r="N10" s="541"/>
      <c r="O10" s="541"/>
      <c r="Q10" s="542"/>
    </row>
    <row r="11" spans="1:17" ht="19.5">
      <c r="A11" s="540" t="s">
        <v>540</v>
      </c>
      <c r="B11" s="541">
        <v>0</v>
      </c>
      <c r="C11" s="541">
        <f t="shared" si="0"/>
        <v>0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Q11" s="542"/>
    </row>
    <row r="12" spans="1:17" ht="19.5">
      <c r="A12" s="540" t="s">
        <v>541</v>
      </c>
      <c r="B12" s="541">
        <v>0</v>
      </c>
      <c r="C12" s="541">
        <f t="shared" si="0"/>
        <v>0</v>
      </c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Q12" s="542"/>
    </row>
    <row r="13" spans="1:17" ht="19.5">
      <c r="A13" s="540" t="s">
        <v>542</v>
      </c>
      <c r="B13" s="541">
        <v>45000</v>
      </c>
      <c r="C13" s="541">
        <f t="shared" si="0"/>
        <v>45000</v>
      </c>
      <c r="D13" s="541"/>
      <c r="E13" s="541"/>
      <c r="F13" s="541">
        <v>45000</v>
      </c>
      <c r="G13" s="541"/>
      <c r="H13" s="541"/>
      <c r="I13" s="541"/>
      <c r="J13" s="541"/>
      <c r="K13" s="541"/>
      <c r="L13" s="541"/>
      <c r="M13" s="541"/>
      <c r="N13" s="541"/>
      <c r="O13" s="541"/>
      <c r="Q13" s="542"/>
    </row>
    <row r="14" spans="1:17" ht="19.5">
      <c r="A14" s="540" t="s">
        <v>543</v>
      </c>
      <c r="B14" s="541">
        <v>0</v>
      </c>
      <c r="C14" s="541">
        <f t="shared" si="0"/>
        <v>0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Q14" s="542"/>
    </row>
    <row r="15" spans="1:17" ht="19.5">
      <c r="A15" s="540" t="s">
        <v>544</v>
      </c>
      <c r="B15" s="541">
        <v>0</v>
      </c>
      <c r="C15" s="541">
        <f t="shared" si="0"/>
        <v>0</v>
      </c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Q15" s="542"/>
    </row>
    <row r="16" spans="1:17" ht="19.5">
      <c r="A16" s="540" t="s">
        <v>545</v>
      </c>
      <c r="B16" s="541">
        <v>0</v>
      </c>
      <c r="C16" s="541">
        <f t="shared" si="0"/>
        <v>0</v>
      </c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Q16" s="542"/>
    </row>
    <row r="17" spans="1:17" ht="19.5">
      <c r="A17" s="540" t="s">
        <v>546</v>
      </c>
      <c r="B17" s="541">
        <v>6782257</v>
      </c>
      <c r="C17" s="541">
        <f t="shared" si="0"/>
        <v>6782257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89">
        <v>6782257</v>
      </c>
      <c r="Q17" s="542"/>
    </row>
    <row r="18" spans="1:17" ht="19.5">
      <c r="A18" s="540" t="s">
        <v>663</v>
      </c>
      <c r="B18" s="541">
        <v>0</v>
      </c>
      <c r="C18" s="541">
        <f t="shared" si="0"/>
        <v>0</v>
      </c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Q18" s="542"/>
    </row>
    <row r="19" spans="1:17" ht="19.5">
      <c r="A19" s="543" t="s">
        <v>664</v>
      </c>
      <c r="B19" s="544">
        <v>5780000</v>
      </c>
      <c r="C19" s="541">
        <f t="shared" si="0"/>
        <v>5780000</v>
      </c>
      <c r="D19" s="544"/>
      <c r="E19" s="544"/>
      <c r="F19" s="544"/>
      <c r="G19" s="544"/>
      <c r="H19" s="544"/>
      <c r="I19" s="544"/>
      <c r="J19" s="544"/>
      <c r="K19" s="544"/>
      <c r="L19" s="544">
        <v>5780000</v>
      </c>
      <c r="M19" s="544"/>
      <c r="N19" s="544"/>
      <c r="O19" s="544"/>
      <c r="Q19" s="542"/>
    </row>
    <row r="20" spans="1:15" ht="20.25" thickBot="1">
      <c r="A20" s="545" t="s">
        <v>4</v>
      </c>
      <c r="B20" s="546">
        <f>SUM(B8:B19)</f>
        <v>12983181</v>
      </c>
      <c r="C20" s="546">
        <f t="shared" si="0"/>
        <v>12983181</v>
      </c>
      <c r="D20" s="546">
        <f aca="true" t="shared" si="1" ref="D20:O20">SUM(D8:D19)</f>
        <v>0</v>
      </c>
      <c r="E20" s="546">
        <f t="shared" si="1"/>
        <v>0</v>
      </c>
      <c r="F20" s="546">
        <f t="shared" si="1"/>
        <v>420924</v>
      </c>
      <c r="G20" s="546">
        <f t="shared" si="1"/>
        <v>0</v>
      </c>
      <c r="H20" s="546">
        <f t="shared" si="1"/>
        <v>0</v>
      </c>
      <c r="I20" s="546">
        <f t="shared" si="1"/>
        <v>0</v>
      </c>
      <c r="J20" s="546">
        <f t="shared" si="1"/>
        <v>0</v>
      </c>
      <c r="K20" s="546">
        <f t="shared" si="1"/>
        <v>0</v>
      </c>
      <c r="L20" s="546">
        <f t="shared" si="1"/>
        <v>5780000</v>
      </c>
      <c r="M20" s="546">
        <f t="shared" si="1"/>
        <v>0</v>
      </c>
      <c r="N20" s="546">
        <f t="shared" si="1"/>
        <v>0</v>
      </c>
      <c r="O20" s="546">
        <f t="shared" si="1"/>
        <v>6782257</v>
      </c>
    </row>
    <row r="21" spans="1:15" ht="20.25" thickTop="1">
      <c r="A21" s="547" t="s">
        <v>17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</row>
    <row r="22" spans="1:15" ht="19.5">
      <c r="A22" s="548" t="s">
        <v>547</v>
      </c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</row>
    <row r="23" spans="1:17" ht="19.5">
      <c r="A23" s="548" t="s">
        <v>548</v>
      </c>
      <c r="B23" s="541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Q23" s="590"/>
    </row>
    <row r="24" spans="1:15" ht="19.5">
      <c r="A24" s="549" t="s">
        <v>92</v>
      </c>
      <c r="B24" s="541"/>
      <c r="C24" s="550"/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</row>
    <row r="25" spans="1:15" ht="19.5">
      <c r="A25" s="548" t="s">
        <v>549</v>
      </c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</row>
    <row r="26" spans="1:15" ht="19.5">
      <c r="A26" s="548" t="s">
        <v>550</v>
      </c>
      <c r="B26" s="541"/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</row>
    <row r="27" spans="1:15" ht="19.5">
      <c r="A27" s="548" t="s">
        <v>551</v>
      </c>
      <c r="B27" s="550"/>
      <c r="C27" s="550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</row>
    <row r="28" spans="1:15" ht="19.5">
      <c r="A28" s="548" t="s">
        <v>552</v>
      </c>
      <c r="B28" s="541"/>
      <c r="C28" s="541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</row>
    <row r="29" spans="1:15" ht="19.5">
      <c r="A29" s="548" t="s">
        <v>553</v>
      </c>
      <c r="B29" s="541"/>
      <c r="C29" s="541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</row>
    <row r="30" spans="1:15" ht="19.5">
      <c r="A30" s="549" t="s">
        <v>554</v>
      </c>
      <c r="B30" s="550"/>
      <c r="C30" s="550">
        <v>5780000</v>
      </c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</row>
    <row r="31" spans="1:15" ht="19.5">
      <c r="A31" s="551" t="s">
        <v>555</v>
      </c>
      <c r="B31" s="552" t="s">
        <v>502</v>
      </c>
      <c r="C31" s="553">
        <v>7203181</v>
      </c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</row>
    <row r="32" spans="1:15" ht="20.25" thickBot="1">
      <c r="A32" s="554" t="s">
        <v>93</v>
      </c>
      <c r="B32" s="555">
        <f>SUM(B22:B31)</f>
        <v>0</v>
      </c>
      <c r="C32" s="555">
        <f>SUM(C22:C31)</f>
        <v>12983181</v>
      </c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</row>
    <row r="33" spans="1:3" ht="21" thickBot="1" thickTop="1">
      <c r="A33" s="534" t="s">
        <v>556</v>
      </c>
      <c r="C33" s="557">
        <f>C32-C20</f>
        <v>0</v>
      </c>
    </row>
    <row r="34" ht="20.25" thickTop="1"/>
    <row r="36" spans="3:4" ht="19.5">
      <c r="C36" s="542"/>
      <c r="D36" s="542"/>
    </row>
    <row r="37" spans="3:4" ht="19.5">
      <c r="C37" s="542"/>
      <c r="D37" s="542"/>
    </row>
  </sheetData>
  <sheetProtection/>
  <mergeCells count="3">
    <mergeCell ref="A1:O1"/>
    <mergeCell ref="A2:O2"/>
    <mergeCell ref="A3:O3"/>
  </mergeCells>
  <printOptions/>
  <pageMargins left="0.07874015748031496" right="0.07874015748031496" top="0.34" bottom="0.16" header="0.34" footer="0.16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22"/>
  <sheetViews>
    <sheetView zoomScalePageLayoutView="0" workbookViewId="0" topLeftCell="C1">
      <selection activeCell="K9" sqref="K9"/>
    </sheetView>
  </sheetViews>
  <sheetFormatPr defaultColWidth="9.140625" defaultRowHeight="23.25"/>
  <cols>
    <col min="1" max="1" width="14.57421875" style="501" bestFit="1" customWidth="1"/>
    <col min="2" max="2" width="4.57421875" style="277" customWidth="1"/>
    <col min="3" max="3" width="13.140625" style="12" bestFit="1" customWidth="1"/>
    <col min="4" max="4" width="4.00390625" style="502" customWidth="1"/>
    <col min="5" max="5" width="11.28125" style="12" customWidth="1"/>
    <col min="6" max="6" width="4.28125" style="502" bestFit="1" customWidth="1"/>
    <col min="7" max="7" width="12.7109375" style="12" bestFit="1" customWidth="1"/>
    <col min="8" max="8" width="3.8515625" style="502" customWidth="1"/>
    <col min="9" max="9" width="11.28125" style="12" bestFit="1" customWidth="1"/>
    <col min="10" max="10" width="4.140625" style="502" customWidth="1"/>
    <col min="11" max="11" width="12.7109375" style="12" bestFit="1" customWidth="1"/>
    <col min="12" max="12" width="4.00390625" style="502" customWidth="1"/>
    <col min="13" max="13" width="11.28125" style="12" customWidth="1"/>
    <col min="14" max="14" width="4.28125" style="502" bestFit="1" customWidth="1"/>
    <col min="15" max="15" width="12.7109375" style="12" bestFit="1" customWidth="1"/>
    <col min="16" max="16" width="3.7109375" style="502" hidden="1" customWidth="1"/>
    <col min="17" max="17" width="11.28125" style="12" hidden="1" customWidth="1"/>
    <col min="18" max="18" width="3.57421875" style="503" customWidth="1"/>
    <col min="19" max="19" width="12.7109375" style="12" bestFit="1" customWidth="1"/>
    <col min="20" max="20" width="4.28125" style="502" hidden="1" customWidth="1"/>
    <col min="21" max="21" width="11.28125" style="12" hidden="1" customWidth="1"/>
    <col min="22" max="22" width="4.7109375" style="12" hidden="1" customWidth="1"/>
    <col min="23" max="23" width="11.28125" style="12" hidden="1" customWidth="1"/>
    <col min="24" max="24" width="3.57421875" style="502" customWidth="1"/>
    <col min="25" max="25" width="11.57421875" style="12" bestFit="1" customWidth="1"/>
    <col min="26" max="26" width="12.7109375" style="501" bestFit="1" customWidth="1"/>
    <col min="27" max="31" width="9.140625" style="459" customWidth="1"/>
    <col min="32" max="16384" width="9.140625" style="242" customWidth="1"/>
  </cols>
  <sheetData>
    <row r="1" spans="1:26" ht="23.25">
      <c r="A1" s="707" t="s">
        <v>366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</row>
    <row r="2" spans="1:26" ht="23.25">
      <c r="A2" s="707" t="s">
        <v>279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</row>
    <row r="3" spans="1:26" ht="23.25">
      <c r="A3" s="708" t="s">
        <v>280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</row>
    <row r="4" spans="1:31" s="243" customFormat="1" ht="23.25">
      <c r="A4" s="411"/>
      <c r="B4" s="703" t="s">
        <v>281</v>
      </c>
      <c r="C4" s="704"/>
      <c r="D4" s="705" t="s">
        <v>108</v>
      </c>
      <c r="E4" s="706"/>
      <c r="F4" s="703" t="s">
        <v>109</v>
      </c>
      <c r="G4" s="704"/>
      <c r="H4" s="703" t="s">
        <v>282</v>
      </c>
      <c r="I4" s="704"/>
      <c r="J4" s="705" t="s">
        <v>89</v>
      </c>
      <c r="K4" s="706"/>
      <c r="L4" s="703" t="s">
        <v>111</v>
      </c>
      <c r="M4" s="704"/>
      <c r="N4" s="703" t="s">
        <v>283</v>
      </c>
      <c r="O4" s="704"/>
      <c r="P4" s="709" t="s">
        <v>113</v>
      </c>
      <c r="Q4" s="710"/>
      <c r="R4" s="705" t="s">
        <v>114</v>
      </c>
      <c r="S4" s="706"/>
      <c r="T4" s="703" t="s">
        <v>412</v>
      </c>
      <c r="U4" s="704"/>
      <c r="V4" s="703"/>
      <c r="W4" s="704"/>
      <c r="X4" s="703" t="s">
        <v>8</v>
      </c>
      <c r="Y4" s="704"/>
      <c r="Z4" s="411" t="s">
        <v>4</v>
      </c>
      <c r="AA4" s="439"/>
      <c r="AB4" s="439"/>
      <c r="AC4" s="439"/>
      <c r="AD4" s="439"/>
      <c r="AE4" s="439"/>
    </row>
    <row r="5" spans="1:26" ht="23.25">
      <c r="A5" s="460" t="s">
        <v>9</v>
      </c>
      <c r="B5" s="264" t="s">
        <v>295</v>
      </c>
      <c r="C5" s="74">
        <v>-94700</v>
      </c>
      <c r="D5" s="461"/>
      <c r="E5" s="74"/>
      <c r="F5" s="461" t="s">
        <v>295</v>
      </c>
      <c r="G5" s="74">
        <v>-35000</v>
      </c>
      <c r="H5" s="461"/>
      <c r="I5" s="74"/>
      <c r="J5" s="461"/>
      <c r="K5" s="74"/>
      <c r="L5" s="461"/>
      <c r="M5" s="74"/>
      <c r="N5" s="461"/>
      <c r="O5" s="74"/>
      <c r="P5" s="461"/>
      <c r="Q5" s="74"/>
      <c r="R5" s="462"/>
      <c r="S5" s="74"/>
      <c r="T5" s="461"/>
      <c r="U5" s="74"/>
      <c r="V5" s="74"/>
      <c r="W5" s="74"/>
      <c r="X5" s="461"/>
      <c r="Y5" s="74"/>
      <c r="Z5" s="463">
        <f>C5+E5+G5+I5+K5+M5+O5+U5+Q5+S5+Y5</f>
        <v>-129700</v>
      </c>
    </row>
    <row r="6" spans="1:26" ht="23.25">
      <c r="A6" s="464"/>
      <c r="B6" s="247" t="s">
        <v>296</v>
      </c>
      <c r="C6" s="75">
        <v>-30000</v>
      </c>
      <c r="D6" s="252"/>
      <c r="E6" s="75"/>
      <c r="F6" s="252" t="s">
        <v>296</v>
      </c>
      <c r="G6" s="75">
        <v>-30000</v>
      </c>
      <c r="H6" s="252"/>
      <c r="I6" s="75"/>
      <c r="J6" s="252"/>
      <c r="K6" s="75"/>
      <c r="L6" s="252"/>
      <c r="M6" s="75"/>
      <c r="N6" s="252"/>
      <c r="O6" s="75"/>
      <c r="P6" s="252"/>
      <c r="Q6" s="75"/>
      <c r="R6" s="251"/>
      <c r="S6" s="75"/>
      <c r="T6" s="252"/>
      <c r="U6" s="75"/>
      <c r="V6" s="75"/>
      <c r="W6" s="75"/>
      <c r="X6" s="252"/>
      <c r="Y6" s="75"/>
      <c r="Z6" s="266">
        <f>C6+E6+G6+I6+K6+M6+O6+U6+Q6+S6+Y6</f>
        <v>-60000</v>
      </c>
    </row>
    <row r="7" spans="1:26" ht="23.25">
      <c r="A7" s="464"/>
      <c r="B7" s="247"/>
      <c r="C7" s="75"/>
      <c r="D7" s="252"/>
      <c r="E7" s="75"/>
      <c r="F7" s="252"/>
      <c r="G7" s="75"/>
      <c r="H7" s="252"/>
      <c r="I7" s="75"/>
      <c r="J7" s="252"/>
      <c r="K7" s="75"/>
      <c r="L7" s="252"/>
      <c r="M7" s="75"/>
      <c r="N7" s="252"/>
      <c r="O7" s="75"/>
      <c r="P7" s="252"/>
      <c r="Q7" s="75"/>
      <c r="R7" s="251"/>
      <c r="S7" s="75"/>
      <c r="T7" s="252"/>
      <c r="U7" s="75"/>
      <c r="V7" s="75"/>
      <c r="W7" s="75"/>
      <c r="X7" s="252"/>
      <c r="Y7" s="75"/>
      <c r="Z7" s="266"/>
    </row>
    <row r="8" spans="1:26" ht="23.25">
      <c r="A8" s="464"/>
      <c r="B8" s="247"/>
      <c r="C8" s="75"/>
      <c r="D8" s="252"/>
      <c r="E8" s="75"/>
      <c r="F8" s="252"/>
      <c r="G8" s="75"/>
      <c r="H8" s="252"/>
      <c r="I8" s="75"/>
      <c r="J8" s="252"/>
      <c r="K8" s="75"/>
      <c r="L8" s="252"/>
      <c r="M8" s="75"/>
      <c r="N8" s="252"/>
      <c r="O8" s="75"/>
      <c r="P8" s="252"/>
      <c r="Q8" s="75"/>
      <c r="R8" s="251"/>
      <c r="S8" s="75"/>
      <c r="T8" s="252"/>
      <c r="U8" s="75"/>
      <c r="V8" s="75"/>
      <c r="W8" s="75"/>
      <c r="X8" s="252"/>
      <c r="Y8" s="75"/>
      <c r="Z8" s="266"/>
    </row>
    <row r="9" spans="1:26" ht="23.25">
      <c r="A9" s="464"/>
      <c r="B9" s="247"/>
      <c r="C9" s="75"/>
      <c r="D9" s="252"/>
      <c r="E9" s="75"/>
      <c r="F9" s="252"/>
      <c r="G9" s="75"/>
      <c r="H9" s="252"/>
      <c r="I9" s="75"/>
      <c r="J9" s="252"/>
      <c r="K9" s="75"/>
      <c r="L9" s="252"/>
      <c r="M9" s="75"/>
      <c r="N9" s="252"/>
      <c r="O9" s="75"/>
      <c r="P9" s="252"/>
      <c r="Q9" s="75"/>
      <c r="R9" s="251"/>
      <c r="S9" s="75"/>
      <c r="T9" s="252"/>
      <c r="U9" s="75"/>
      <c r="V9" s="75"/>
      <c r="W9" s="75"/>
      <c r="X9" s="252"/>
      <c r="Y9" s="75"/>
      <c r="Z9" s="266">
        <f aca="true" t="shared" si="0" ref="Z9:Z14">C9+E9+G9+I9+K9+M9+O9+U9+Q9+S9+Y9</f>
        <v>0</v>
      </c>
    </row>
    <row r="10" spans="1:26" s="415" customFormat="1" ht="23.25">
      <c r="A10" s="465" t="s">
        <v>287</v>
      </c>
      <c r="B10" s="265"/>
      <c r="C10" s="266">
        <f>SUM(C5:C9)</f>
        <v>-124700</v>
      </c>
      <c r="D10" s="466"/>
      <c r="E10" s="266">
        <f>SUM(E5:E9)</f>
        <v>0</v>
      </c>
      <c r="F10" s="266"/>
      <c r="G10" s="266">
        <f>SUM(G5:G9)</f>
        <v>-65000</v>
      </c>
      <c r="H10" s="266"/>
      <c r="I10" s="266">
        <f>SUM(I5:I9)</f>
        <v>0</v>
      </c>
      <c r="J10" s="466"/>
      <c r="K10" s="266">
        <f>SUM(K5:K9)</f>
        <v>0</v>
      </c>
      <c r="L10" s="466"/>
      <c r="M10" s="266">
        <f>SUM(M5:M9)</f>
        <v>0</v>
      </c>
      <c r="N10" s="266"/>
      <c r="O10" s="266">
        <f>SUM(O5:O9)</f>
        <v>0</v>
      </c>
      <c r="P10" s="466"/>
      <c r="Q10" s="266">
        <f>SUM(Q5:Q9)</f>
        <v>0</v>
      </c>
      <c r="R10" s="266"/>
      <c r="S10" s="266">
        <f>SUM(S5:S9)</f>
        <v>0</v>
      </c>
      <c r="T10" s="266">
        <f>SUM(T5:T9)</f>
        <v>0</v>
      </c>
      <c r="U10" s="266">
        <f>SUM(U5:U9)</f>
        <v>0</v>
      </c>
      <c r="V10" s="266"/>
      <c r="W10" s="266">
        <f>SUM(W5:W9)</f>
        <v>0</v>
      </c>
      <c r="X10" s="266"/>
      <c r="Y10" s="266">
        <f>SUM(Y5:Y9)</f>
        <v>0</v>
      </c>
      <c r="Z10" s="266">
        <f t="shared" si="0"/>
        <v>-189700</v>
      </c>
    </row>
    <row r="11" spans="1:31" s="244" customFormat="1" ht="23.25">
      <c r="A11" s="467" t="s">
        <v>3</v>
      </c>
      <c r="B11" s="267"/>
      <c r="C11" s="248"/>
      <c r="D11" s="468"/>
      <c r="E11" s="469"/>
      <c r="F11" s="470"/>
      <c r="G11" s="469"/>
      <c r="H11" s="470"/>
      <c r="I11" s="469"/>
      <c r="J11" s="470"/>
      <c r="K11" s="248"/>
      <c r="L11" s="468"/>
      <c r="M11" s="469"/>
      <c r="N11" s="470"/>
      <c r="O11" s="469"/>
      <c r="P11" s="470"/>
      <c r="Q11" s="469"/>
      <c r="R11" s="471"/>
      <c r="S11" s="469"/>
      <c r="T11" s="470"/>
      <c r="U11" s="469"/>
      <c r="V11" s="469"/>
      <c r="W11" s="469"/>
      <c r="X11" s="470"/>
      <c r="Y11" s="469"/>
      <c r="Z11" s="469">
        <f t="shared" si="0"/>
        <v>0</v>
      </c>
      <c r="AA11" s="415"/>
      <c r="AB11" s="415"/>
      <c r="AC11" s="415"/>
      <c r="AD11" s="415"/>
      <c r="AE11" s="415"/>
    </row>
    <row r="12" spans="1:31" s="244" customFormat="1" ht="24" thickBot="1">
      <c r="A12" s="420" t="s">
        <v>288</v>
      </c>
      <c r="B12" s="268"/>
      <c r="C12" s="257">
        <f>C10+C11</f>
        <v>-124700</v>
      </c>
      <c r="D12" s="472"/>
      <c r="E12" s="257">
        <f>E10+E11</f>
        <v>0</v>
      </c>
      <c r="F12" s="472"/>
      <c r="G12" s="257">
        <f>G10+G11</f>
        <v>-65000</v>
      </c>
      <c r="H12" s="472"/>
      <c r="I12" s="257">
        <f>I10+I11</f>
        <v>0</v>
      </c>
      <c r="J12" s="472"/>
      <c r="K12" s="257">
        <f>K10+K11</f>
        <v>0</v>
      </c>
      <c r="L12" s="472"/>
      <c r="M12" s="257">
        <f>M10+M11</f>
        <v>0</v>
      </c>
      <c r="N12" s="472"/>
      <c r="O12" s="257">
        <f>O10+O11</f>
        <v>0</v>
      </c>
      <c r="P12" s="472"/>
      <c r="Q12" s="257">
        <f>Q10+Q11</f>
        <v>0</v>
      </c>
      <c r="R12" s="473"/>
      <c r="S12" s="257">
        <f>S10+S11</f>
        <v>0</v>
      </c>
      <c r="T12" s="257">
        <f>T10+T11</f>
        <v>0</v>
      </c>
      <c r="U12" s="257">
        <f>U10+U11</f>
        <v>0</v>
      </c>
      <c r="V12" s="257"/>
      <c r="W12" s="257">
        <f>W10+W11</f>
        <v>0</v>
      </c>
      <c r="X12" s="472"/>
      <c r="Y12" s="257">
        <f>Y10+Y11</f>
        <v>0</v>
      </c>
      <c r="Z12" s="257">
        <f t="shared" si="0"/>
        <v>-189700</v>
      </c>
      <c r="AA12" s="415"/>
      <c r="AB12" s="415"/>
      <c r="AC12" s="415"/>
      <c r="AD12" s="415"/>
      <c r="AE12" s="415"/>
    </row>
    <row r="13" spans="1:26" ht="24" thickTop="1">
      <c r="A13" s="474" t="s">
        <v>27</v>
      </c>
      <c r="B13" s="245"/>
      <c r="C13" s="246"/>
      <c r="D13" s="250"/>
      <c r="E13" s="246"/>
      <c r="F13" s="250"/>
      <c r="G13" s="246"/>
      <c r="H13" s="250"/>
      <c r="I13" s="246"/>
      <c r="J13" s="250"/>
      <c r="K13" s="246"/>
      <c r="L13" s="250"/>
      <c r="M13" s="246"/>
      <c r="N13" s="250"/>
      <c r="O13" s="246"/>
      <c r="P13" s="250"/>
      <c r="Q13" s="246"/>
      <c r="R13" s="249"/>
      <c r="S13" s="246"/>
      <c r="T13" s="250"/>
      <c r="U13" s="246"/>
      <c r="V13" s="246"/>
      <c r="W13" s="246"/>
      <c r="X13" s="250"/>
      <c r="Y13" s="246"/>
      <c r="Z13" s="334">
        <f t="shared" si="0"/>
        <v>0</v>
      </c>
    </row>
    <row r="14" spans="1:26" ht="23.25">
      <c r="A14" s="475"/>
      <c r="B14" s="269"/>
      <c r="C14" s="270"/>
      <c r="D14" s="476"/>
      <c r="E14" s="270"/>
      <c r="F14" s="476"/>
      <c r="G14" s="270"/>
      <c r="H14" s="476"/>
      <c r="I14" s="270"/>
      <c r="J14" s="476"/>
      <c r="K14" s="270"/>
      <c r="L14" s="476"/>
      <c r="M14" s="270"/>
      <c r="N14" s="476"/>
      <c r="O14" s="270"/>
      <c r="P14" s="476"/>
      <c r="Q14" s="270"/>
      <c r="R14" s="477"/>
      <c r="S14" s="270"/>
      <c r="T14" s="476"/>
      <c r="U14" s="270"/>
      <c r="V14" s="270"/>
      <c r="W14" s="270"/>
      <c r="X14" s="476"/>
      <c r="Y14" s="270"/>
      <c r="Z14" s="266">
        <f t="shared" si="0"/>
        <v>0</v>
      </c>
    </row>
    <row r="15" spans="1:26" ht="23.25">
      <c r="A15" s="475"/>
      <c r="B15" s="269"/>
      <c r="C15" s="270"/>
      <c r="D15" s="476"/>
      <c r="E15" s="270"/>
      <c r="F15" s="476"/>
      <c r="G15" s="270"/>
      <c r="H15" s="476"/>
      <c r="I15" s="270"/>
      <c r="J15" s="476"/>
      <c r="K15" s="270"/>
      <c r="L15" s="476"/>
      <c r="M15" s="270"/>
      <c r="N15" s="476"/>
      <c r="O15" s="270"/>
      <c r="P15" s="476"/>
      <c r="Q15" s="270"/>
      <c r="R15" s="477"/>
      <c r="S15" s="270"/>
      <c r="T15" s="476"/>
      <c r="U15" s="270"/>
      <c r="V15" s="270"/>
      <c r="W15" s="270"/>
      <c r="X15" s="476"/>
      <c r="Y15" s="270"/>
      <c r="Z15" s="266"/>
    </row>
    <row r="16" spans="1:26" ht="23.25">
      <c r="A16" s="464"/>
      <c r="B16" s="247"/>
      <c r="C16" s="75"/>
      <c r="D16" s="252"/>
      <c r="E16" s="75"/>
      <c r="F16" s="252"/>
      <c r="G16" s="75"/>
      <c r="H16" s="252"/>
      <c r="I16" s="75"/>
      <c r="J16" s="252"/>
      <c r="K16" s="75"/>
      <c r="L16" s="252"/>
      <c r="M16" s="75"/>
      <c r="N16" s="252"/>
      <c r="O16" s="75"/>
      <c r="P16" s="252"/>
      <c r="Q16" s="75"/>
      <c r="R16" s="251"/>
      <c r="S16" s="75"/>
      <c r="T16" s="252"/>
      <c r="U16" s="75"/>
      <c r="V16" s="75"/>
      <c r="W16" s="75"/>
      <c r="X16" s="252"/>
      <c r="Y16" s="75"/>
      <c r="Z16" s="266">
        <f aca="true" t="shared" si="1" ref="Z16:Z34">C16+E16+G16+I16+K16+M16+O16+U16+Q16+S16+Y16</f>
        <v>0</v>
      </c>
    </row>
    <row r="17" spans="1:31" s="244" customFormat="1" ht="23.25">
      <c r="A17" s="465" t="s">
        <v>287</v>
      </c>
      <c r="B17" s="265"/>
      <c r="C17" s="266">
        <f>SUM(C13:C16)</f>
        <v>0</v>
      </c>
      <c r="D17" s="466"/>
      <c r="E17" s="266">
        <f>SUM(E13:E16)</f>
        <v>0</v>
      </c>
      <c r="F17" s="266"/>
      <c r="G17" s="266">
        <f>SUM(G13:G16)</f>
        <v>0</v>
      </c>
      <c r="H17" s="266"/>
      <c r="I17" s="266">
        <f>SUM(I13:I16)</f>
        <v>0</v>
      </c>
      <c r="J17" s="466"/>
      <c r="K17" s="266">
        <f>SUM(K13:K16)</f>
        <v>0</v>
      </c>
      <c r="L17" s="466"/>
      <c r="M17" s="266">
        <f>SUM(M13:M16)</f>
        <v>0</v>
      </c>
      <c r="N17" s="266"/>
      <c r="O17" s="266">
        <f>SUM(O13:O16)</f>
        <v>0</v>
      </c>
      <c r="P17" s="466"/>
      <c r="Q17" s="266">
        <f>SUM(Q13:Q16)</f>
        <v>0</v>
      </c>
      <c r="R17" s="266"/>
      <c r="S17" s="266">
        <f>SUM(S13:S16)</f>
        <v>0</v>
      </c>
      <c r="T17" s="266">
        <f>SUM(T13:T16)</f>
        <v>0</v>
      </c>
      <c r="U17" s="266">
        <f>SUM(U13:U16)</f>
        <v>0</v>
      </c>
      <c r="V17" s="266"/>
      <c r="W17" s="266">
        <f>SUM(W13:W16)</f>
        <v>0</v>
      </c>
      <c r="X17" s="266"/>
      <c r="Y17" s="266">
        <f>SUM(Y13:Y16)</f>
        <v>0</v>
      </c>
      <c r="Z17" s="266">
        <f t="shared" si="1"/>
        <v>0</v>
      </c>
      <c r="AA17" s="415"/>
      <c r="AB17" s="415"/>
      <c r="AC17" s="415"/>
      <c r="AD17" s="415"/>
      <c r="AE17" s="415"/>
    </row>
    <row r="18" spans="1:31" s="244" customFormat="1" ht="23.25">
      <c r="A18" s="478"/>
      <c r="B18" s="267"/>
      <c r="C18" s="248">
        <v>0</v>
      </c>
      <c r="D18" s="468"/>
      <c r="E18" s="469"/>
      <c r="F18" s="470"/>
      <c r="G18" s="469"/>
      <c r="H18" s="470"/>
      <c r="I18" s="469"/>
      <c r="J18" s="470"/>
      <c r="K18" s="469"/>
      <c r="L18" s="470"/>
      <c r="M18" s="469"/>
      <c r="N18" s="470"/>
      <c r="O18" s="469"/>
      <c r="P18" s="470"/>
      <c r="Q18" s="469"/>
      <c r="R18" s="471"/>
      <c r="S18" s="469"/>
      <c r="T18" s="470"/>
      <c r="U18" s="469"/>
      <c r="V18" s="469"/>
      <c r="W18" s="469"/>
      <c r="X18" s="470"/>
      <c r="Y18" s="469"/>
      <c r="Z18" s="469">
        <f t="shared" si="1"/>
        <v>0</v>
      </c>
      <c r="AA18" s="415"/>
      <c r="AB18" s="415"/>
      <c r="AC18" s="415"/>
      <c r="AD18" s="415"/>
      <c r="AE18" s="415"/>
    </row>
    <row r="19" spans="1:31" s="244" customFormat="1" ht="24" thickBot="1">
      <c r="A19" s="420" t="s">
        <v>288</v>
      </c>
      <c r="B19" s="268"/>
      <c r="C19" s="257">
        <f>SUM(C17:C18)</f>
        <v>0</v>
      </c>
      <c r="D19" s="472"/>
      <c r="E19" s="257">
        <f>E17+E18</f>
        <v>0</v>
      </c>
      <c r="F19" s="472"/>
      <c r="G19" s="257">
        <f>G17+G18</f>
        <v>0</v>
      </c>
      <c r="H19" s="472"/>
      <c r="I19" s="257">
        <f>I17+I18</f>
        <v>0</v>
      </c>
      <c r="J19" s="472"/>
      <c r="K19" s="257">
        <f>K17+K18</f>
        <v>0</v>
      </c>
      <c r="L19" s="472"/>
      <c r="M19" s="257">
        <f>M17+M18</f>
        <v>0</v>
      </c>
      <c r="N19" s="472"/>
      <c r="O19" s="257">
        <f>O17+O18</f>
        <v>0</v>
      </c>
      <c r="P19" s="472"/>
      <c r="Q19" s="257">
        <f>Q17+Q18</f>
        <v>0</v>
      </c>
      <c r="R19" s="473"/>
      <c r="S19" s="257">
        <f>S17+S18</f>
        <v>0</v>
      </c>
      <c r="T19" s="257">
        <f>T17+T18</f>
        <v>0</v>
      </c>
      <c r="U19" s="257">
        <f>U17+U18</f>
        <v>0</v>
      </c>
      <c r="V19" s="257"/>
      <c r="W19" s="257">
        <f>W17+W18</f>
        <v>0</v>
      </c>
      <c r="X19" s="472"/>
      <c r="Y19" s="257">
        <f>Y17+Y18</f>
        <v>0</v>
      </c>
      <c r="Z19" s="257">
        <f t="shared" si="1"/>
        <v>0</v>
      </c>
      <c r="AA19" s="415"/>
      <c r="AB19" s="415"/>
      <c r="AC19" s="415"/>
      <c r="AD19" s="415"/>
      <c r="AE19" s="415"/>
    </row>
    <row r="20" spans="1:26" ht="24" thickTop="1">
      <c r="A20" s="474" t="s">
        <v>10</v>
      </c>
      <c r="B20" s="245" t="s">
        <v>284</v>
      </c>
      <c r="C20" s="246">
        <v>-140000</v>
      </c>
      <c r="D20" s="250"/>
      <c r="E20" s="246"/>
      <c r="F20" s="250"/>
      <c r="G20" s="246"/>
      <c r="H20" s="250"/>
      <c r="I20" s="246"/>
      <c r="J20" s="250"/>
      <c r="K20" s="246"/>
      <c r="L20" s="250" t="s">
        <v>300</v>
      </c>
      <c r="M20" s="246">
        <v>41064</v>
      </c>
      <c r="N20" s="250"/>
      <c r="O20" s="246"/>
      <c r="P20" s="250"/>
      <c r="Q20" s="246"/>
      <c r="R20" s="249"/>
      <c r="S20" s="246"/>
      <c r="T20" s="250"/>
      <c r="U20" s="246"/>
      <c r="V20" s="246"/>
      <c r="W20" s="246"/>
      <c r="X20" s="250"/>
      <c r="Y20" s="246"/>
      <c r="Z20" s="334">
        <f t="shared" si="1"/>
        <v>-98936</v>
      </c>
    </row>
    <row r="21" spans="1:26" ht="23.25">
      <c r="A21" s="475"/>
      <c r="B21" s="247"/>
      <c r="C21" s="75"/>
      <c r="D21" s="252"/>
      <c r="E21" s="75"/>
      <c r="F21" s="252"/>
      <c r="G21" s="75"/>
      <c r="H21" s="252"/>
      <c r="I21" s="75"/>
      <c r="J21" s="252"/>
      <c r="K21" s="75"/>
      <c r="L21" s="252" t="s">
        <v>300</v>
      </c>
      <c r="M21" s="75">
        <v>12000</v>
      </c>
      <c r="N21" s="252"/>
      <c r="O21" s="75"/>
      <c r="P21" s="252"/>
      <c r="Q21" s="75"/>
      <c r="R21" s="251"/>
      <c r="S21" s="75"/>
      <c r="T21" s="252"/>
      <c r="U21" s="75"/>
      <c r="V21" s="75"/>
      <c r="W21" s="75"/>
      <c r="X21" s="252"/>
      <c r="Y21" s="75"/>
      <c r="Z21" s="266">
        <f t="shared" si="1"/>
        <v>12000</v>
      </c>
    </row>
    <row r="22" spans="1:26" ht="23.25">
      <c r="A22" s="475"/>
      <c r="B22" s="247"/>
      <c r="C22" s="75"/>
      <c r="D22" s="252"/>
      <c r="E22" s="75"/>
      <c r="F22" s="252"/>
      <c r="G22" s="75"/>
      <c r="H22" s="252"/>
      <c r="I22" s="75"/>
      <c r="J22" s="252"/>
      <c r="K22" s="75"/>
      <c r="L22" s="252"/>
      <c r="M22" s="75"/>
      <c r="N22" s="252"/>
      <c r="O22" s="75"/>
      <c r="P22" s="252"/>
      <c r="Q22" s="75"/>
      <c r="R22" s="251"/>
      <c r="S22" s="75"/>
      <c r="T22" s="252"/>
      <c r="U22" s="75"/>
      <c r="V22" s="75"/>
      <c r="W22" s="75"/>
      <c r="X22" s="252"/>
      <c r="Y22" s="75"/>
      <c r="Z22" s="266">
        <f t="shared" si="1"/>
        <v>0</v>
      </c>
    </row>
    <row r="23" spans="1:26" ht="23.25">
      <c r="A23" s="475"/>
      <c r="B23" s="247"/>
      <c r="C23" s="75"/>
      <c r="D23" s="252"/>
      <c r="E23" s="75"/>
      <c r="F23" s="252"/>
      <c r="G23" s="75"/>
      <c r="H23" s="252"/>
      <c r="I23" s="75"/>
      <c r="J23" s="252"/>
      <c r="K23" s="75"/>
      <c r="L23" s="252"/>
      <c r="M23" s="75"/>
      <c r="N23" s="252"/>
      <c r="O23" s="75"/>
      <c r="P23" s="252"/>
      <c r="Q23" s="75"/>
      <c r="R23" s="251"/>
      <c r="S23" s="75"/>
      <c r="T23" s="252"/>
      <c r="U23" s="75"/>
      <c r="V23" s="75"/>
      <c r="W23" s="75"/>
      <c r="X23" s="252"/>
      <c r="Y23" s="75"/>
      <c r="Z23" s="266">
        <f t="shared" si="1"/>
        <v>0</v>
      </c>
    </row>
    <row r="24" spans="1:26" ht="23.25">
      <c r="A24" s="479"/>
      <c r="B24" s="480"/>
      <c r="C24" s="262"/>
      <c r="D24" s="481"/>
      <c r="E24" s="262"/>
      <c r="F24" s="481"/>
      <c r="G24" s="262"/>
      <c r="H24" s="481"/>
      <c r="I24" s="262"/>
      <c r="J24" s="481"/>
      <c r="K24" s="262"/>
      <c r="L24" s="481"/>
      <c r="M24" s="262"/>
      <c r="N24" s="481"/>
      <c r="O24" s="262"/>
      <c r="P24" s="481"/>
      <c r="Q24" s="262"/>
      <c r="R24" s="482"/>
      <c r="S24" s="262"/>
      <c r="T24" s="481"/>
      <c r="U24" s="262"/>
      <c r="V24" s="262"/>
      <c r="W24" s="262"/>
      <c r="X24" s="481"/>
      <c r="Y24" s="262"/>
      <c r="Z24" s="483">
        <f t="shared" si="1"/>
        <v>0</v>
      </c>
    </row>
    <row r="25" spans="1:26" s="415" customFormat="1" ht="23.25">
      <c r="A25" s="475" t="s">
        <v>287</v>
      </c>
      <c r="B25" s="269"/>
      <c r="C25" s="270">
        <f>SUM(C20:C24)</f>
        <v>-140000</v>
      </c>
      <c r="D25" s="476" t="s">
        <v>3</v>
      </c>
      <c r="E25" s="270">
        <f>SUM(E20:E21)</f>
        <v>0</v>
      </c>
      <c r="F25" s="476" t="s">
        <v>3</v>
      </c>
      <c r="G25" s="270">
        <f>SUM(G20:G21)</f>
        <v>0</v>
      </c>
      <c r="H25" s="476" t="s">
        <v>3</v>
      </c>
      <c r="I25" s="270">
        <f>SUM(I20:I21)</f>
        <v>0</v>
      </c>
      <c r="J25" s="476"/>
      <c r="K25" s="270">
        <f>SUM(K20:K21)</f>
        <v>0</v>
      </c>
      <c r="L25" s="476" t="s">
        <v>3</v>
      </c>
      <c r="M25" s="270">
        <f>SUM(M20:M23)</f>
        <v>53064</v>
      </c>
      <c r="N25" s="476" t="s">
        <v>3</v>
      </c>
      <c r="O25" s="270">
        <f>SUM(O20:O21)</f>
        <v>0</v>
      </c>
      <c r="P25" s="476" t="s">
        <v>3</v>
      </c>
      <c r="Q25" s="270">
        <f>SUM(Q20:Q21)</f>
        <v>0</v>
      </c>
      <c r="R25" s="477"/>
      <c r="S25" s="270">
        <f>SUM(S20:S21)</f>
        <v>0</v>
      </c>
      <c r="T25" s="270">
        <f>SUM(T20:T21)</f>
        <v>0</v>
      </c>
      <c r="U25" s="270">
        <f>SUM(U20:U21)</f>
        <v>0</v>
      </c>
      <c r="V25" s="270"/>
      <c r="W25" s="270">
        <f>SUM(W20:W21)</f>
        <v>0</v>
      </c>
      <c r="X25" s="476"/>
      <c r="Y25" s="270">
        <f>SUM(Y20:Y21)</f>
        <v>0</v>
      </c>
      <c r="Z25" s="400">
        <f t="shared" si="1"/>
        <v>-86936</v>
      </c>
    </row>
    <row r="26" spans="1:31" s="244" customFormat="1" ht="23.25">
      <c r="A26" s="484"/>
      <c r="B26" s="271"/>
      <c r="C26" s="272">
        <v>0</v>
      </c>
      <c r="D26" s="485"/>
      <c r="E26" s="428"/>
      <c r="F26" s="486"/>
      <c r="G26" s="428"/>
      <c r="H26" s="486"/>
      <c r="I26" s="428"/>
      <c r="J26" s="486"/>
      <c r="K26" s="428"/>
      <c r="L26" s="486"/>
      <c r="M26" s="428"/>
      <c r="N26" s="486"/>
      <c r="O26" s="428"/>
      <c r="P26" s="486"/>
      <c r="Q26" s="428"/>
      <c r="R26" s="487"/>
      <c r="S26" s="428"/>
      <c r="T26" s="486"/>
      <c r="U26" s="428"/>
      <c r="V26" s="428"/>
      <c r="W26" s="428"/>
      <c r="X26" s="486"/>
      <c r="Y26" s="428"/>
      <c r="Z26" s="428">
        <f t="shared" si="1"/>
        <v>0</v>
      </c>
      <c r="AA26" s="415"/>
      <c r="AB26" s="415"/>
      <c r="AC26" s="415"/>
      <c r="AD26" s="415"/>
      <c r="AE26" s="415"/>
    </row>
    <row r="27" spans="1:31" s="244" customFormat="1" ht="24" thickBot="1">
      <c r="A27" s="420" t="s">
        <v>288</v>
      </c>
      <c r="B27" s="268"/>
      <c r="C27" s="257">
        <f>SUM(C25:C26)</f>
        <v>-140000</v>
      </c>
      <c r="D27" s="472"/>
      <c r="E27" s="257">
        <f>E25+E26</f>
        <v>0</v>
      </c>
      <c r="F27" s="472"/>
      <c r="G27" s="257">
        <f>G25+G26</f>
        <v>0</v>
      </c>
      <c r="H27" s="472"/>
      <c r="I27" s="257">
        <f>I25+I26</f>
        <v>0</v>
      </c>
      <c r="J27" s="472"/>
      <c r="K27" s="257">
        <f>K25+K26</f>
        <v>0</v>
      </c>
      <c r="L27" s="472"/>
      <c r="M27" s="257">
        <f>M25+M26</f>
        <v>53064</v>
      </c>
      <c r="N27" s="472"/>
      <c r="O27" s="257">
        <f>O25+O26</f>
        <v>0</v>
      </c>
      <c r="P27" s="472"/>
      <c r="Q27" s="257">
        <f>Q25+Q26</f>
        <v>0</v>
      </c>
      <c r="R27" s="473"/>
      <c r="S27" s="257">
        <f>S25+S26</f>
        <v>0</v>
      </c>
      <c r="T27" s="257">
        <f>T25+T26</f>
        <v>0</v>
      </c>
      <c r="U27" s="257">
        <f>U25+U26</f>
        <v>0</v>
      </c>
      <c r="V27" s="257"/>
      <c r="W27" s="257">
        <f>W25+W26</f>
        <v>0</v>
      </c>
      <c r="X27" s="472"/>
      <c r="Y27" s="257">
        <f>Y25+Y26</f>
        <v>0</v>
      </c>
      <c r="Z27" s="257">
        <f t="shared" si="1"/>
        <v>-86936</v>
      </c>
      <c r="AA27" s="415"/>
      <c r="AB27" s="415"/>
      <c r="AC27" s="415"/>
      <c r="AD27" s="415"/>
      <c r="AE27" s="415"/>
    </row>
    <row r="28" spans="1:26" ht="24" thickTop="1">
      <c r="A28" s="474" t="s">
        <v>11</v>
      </c>
      <c r="B28" s="247" t="s">
        <v>298</v>
      </c>
      <c r="C28" s="75">
        <v>-96700</v>
      </c>
      <c r="D28" s="250"/>
      <c r="E28" s="246"/>
      <c r="F28" s="250" t="s">
        <v>305</v>
      </c>
      <c r="G28" s="246">
        <v>-10000</v>
      </c>
      <c r="H28" s="250"/>
      <c r="I28" s="246"/>
      <c r="J28" s="476"/>
      <c r="K28" s="270"/>
      <c r="L28" s="476"/>
      <c r="M28" s="270"/>
      <c r="N28" s="250"/>
      <c r="O28" s="246"/>
      <c r="P28" s="250"/>
      <c r="Q28" s="246"/>
      <c r="R28" s="249"/>
      <c r="S28" s="246"/>
      <c r="T28" s="250"/>
      <c r="U28" s="246"/>
      <c r="V28" s="246"/>
      <c r="W28" s="246"/>
      <c r="X28" s="250"/>
      <c r="Y28" s="246"/>
      <c r="Z28" s="266">
        <f t="shared" si="1"/>
        <v>-106700</v>
      </c>
    </row>
    <row r="29" spans="1:26" ht="23.25">
      <c r="A29" s="475"/>
      <c r="B29" s="247" t="s">
        <v>298</v>
      </c>
      <c r="C29" s="75">
        <v>-38300</v>
      </c>
      <c r="D29" s="476"/>
      <c r="E29" s="270"/>
      <c r="F29" s="476"/>
      <c r="G29" s="270"/>
      <c r="H29" s="476"/>
      <c r="I29" s="270"/>
      <c r="J29" s="476"/>
      <c r="K29" s="270"/>
      <c r="L29" s="476"/>
      <c r="M29" s="270"/>
      <c r="N29" s="476"/>
      <c r="O29" s="270"/>
      <c r="P29" s="476"/>
      <c r="Q29" s="270"/>
      <c r="R29" s="477"/>
      <c r="S29" s="270"/>
      <c r="T29" s="476"/>
      <c r="U29" s="270"/>
      <c r="V29" s="270"/>
      <c r="W29" s="270"/>
      <c r="X29" s="476"/>
      <c r="Y29" s="270"/>
      <c r="Z29" s="266">
        <f t="shared" si="1"/>
        <v>-38300</v>
      </c>
    </row>
    <row r="30" spans="1:26" ht="23.25">
      <c r="A30" s="475"/>
      <c r="B30" s="247" t="s">
        <v>303</v>
      </c>
      <c r="C30" s="75">
        <v>30000</v>
      </c>
      <c r="D30" s="476"/>
      <c r="E30" s="270"/>
      <c r="F30" s="476"/>
      <c r="G30" s="270"/>
      <c r="H30" s="476"/>
      <c r="I30" s="270"/>
      <c r="J30" s="476"/>
      <c r="K30" s="270"/>
      <c r="L30" s="476"/>
      <c r="M30" s="270"/>
      <c r="N30" s="476"/>
      <c r="O30" s="270"/>
      <c r="P30" s="476"/>
      <c r="Q30" s="270"/>
      <c r="R30" s="477"/>
      <c r="S30" s="270"/>
      <c r="T30" s="476"/>
      <c r="U30" s="270"/>
      <c r="V30" s="270"/>
      <c r="W30" s="270"/>
      <c r="X30" s="476"/>
      <c r="Y30" s="270"/>
      <c r="Z30" s="266">
        <f t="shared" si="1"/>
        <v>30000</v>
      </c>
    </row>
    <row r="31" spans="1:26" ht="23.25">
      <c r="A31" s="475"/>
      <c r="B31" s="247" t="s">
        <v>289</v>
      </c>
      <c r="C31" s="75">
        <v>-90000</v>
      </c>
      <c r="D31" s="476"/>
      <c r="E31" s="270"/>
      <c r="F31" s="476"/>
      <c r="G31" s="270"/>
      <c r="H31" s="476"/>
      <c r="I31" s="270"/>
      <c r="J31" s="476"/>
      <c r="K31" s="270"/>
      <c r="L31" s="476"/>
      <c r="M31" s="270"/>
      <c r="N31" s="476"/>
      <c r="O31" s="270"/>
      <c r="P31" s="476"/>
      <c r="Q31" s="270"/>
      <c r="R31" s="477"/>
      <c r="S31" s="270"/>
      <c r="T31" s="476"/>
      <c r="U31" s="270"/>
      <c r="V31" s="270"/>
      <c r="W31" s="270"/>
      <c r="X31" s="476"/>
      <c r="Y31" s="270"/>
      <c r="Z31" s="266">
        <f t="shared" si="1"/>
        <v>-90000</v>
      </c>
    </row>
    <row r="32" spans="1:26" ht="23.25">
      <c r="A32" s="475"/>
      <c r="B32" s="247" t="s">
        <v>304</v>
      </c>
      <c r="C32" s="75">
        <v>-13300</v>
      </c>
      <c r="D32" s="476"/>
      <c r="E32" s="270"/>
      <c r="F32" s="476"/>
      <c r="G32" s="270"/>
      <c r="H32" s="476"/>
      <c r="I32" s="270"/>
      <c r="J32" s="476"/>
      <c r="K32" s="270"/>
      <c r="L32" s="476"/>
      <c r="M32" s="270"/>
      <c r="N32" s="476"/>
      <c r="O32" s="270"/>
      <c r="P32" s="476"/>
      <c r="Q32" s="270"/>
      <c r="R32" s="477"/>
      <c r="S32" s="270"/>
      <c r="T32" s="476"/>
      <c r="U32" s="270"/>
      <c r="V32" s="270"/>
      <c r="W32" s="270"/>
      <c r="X32" s="476"/>
      <c r="Y32" s="270"/>
      <c r="Z32" s="266">
        <f t="shared" si="1"/>
        <v>-13300</v>
      </c>
    </row>
    <row r="33" spans="1:26" ht="23.25">
      <c r="A33" s="475"/>
      <c r="B33" s="247" t="s">
        <v>304</v>
      </c>
      <c r="C33" s="75">
        <v>-43000</v>
      </c>
      <c r="D33" s="476"/>
      <c r="E33" s="270"/>
      <c r="F33" s="476"/>
      <c r="G33" s="270"/>
      <c r="H33" s="476"/>
      <c r="I33" s="270"/>
      <c r="J33" s="476"/>
      <c r="K33" s="270"/>
      <c r="L33" s="476"/>
      <c r="M33" s="270"/>
      <c r="N33" s="476"/>
      <c r="O33" s="270"/>
      <c r="P33" s="476"/>
      <c r="Q33" s="270"/>
      <c r="R33" s="477"/>
      <c r="S33" s="270"/>
      <c r="T33" s="476"/>
      <c r="U33" s="270"/>
      <c r="V33" s="270"/>
      <c r="W33" s="270"/>
      <c r="X33" s="476"/>
      <c r="Y33" s="270"/>
      <c r="Z33" s="266">
        <f t="shared" si="1"/>
        <v>-43000</v>
      </c>
    </row>
    <row r="34" spans="1:26" ht="23.25">
      <c r="A34" s="475"/>
      <c r="B34" s="247" t="s">
        <v>304</v>
      </c>
      <c r="C34" s="75">
        <v>-27200</v>
      </c>
      <c r="D34" s="476"/>
      <c r="E34" s="270"/>
      <c r="F34" s="476"/>
      <c r="G34" s="270"/>
      <c r="H34" s="476"/>
      <c r="I34" s="270"/>
      <c r="J34" s="476"/>
      <c r="K34" s="270"/>
      <c r="L34" s="476"/>
      <c r="M34" s="270"/>
      <c r="N34" s="476"/>
      <c r="O34" s="270"/>
      <c r="P34" s="476"/>
      <c r="Q34" s="270"/>
      <c r="R34" s="477"/>
      <c r="S34" s="270"/>
      <c r="T34" s="476"/>
      <c r="U34" s="270"/>
      <c r="V34" s="270"/>
      <c r="W34" s="270"/>
      <c r="X34" s="476"/>
      <c r="Y34" s="270"/>
      <c r="Z34" s="266">
        <f t="shared" si="1"/>
        <v>-27200</v>
      </c>
    </row>
    <row r="35" spans="1:26" ht="23.25">
      <c r="A35" s="475"/>
      <c r="B35" s="247"/>
      <c r="C35" s="75"/>
      <c r="D35" s="476"/>
      <c r="E35" s="270"/>
      <c r="F35" s="476"/>
      <c r="G35" s="270"/>
      <c r="H35" s="476"/>
      <c r="I35" s="270"/>
      <c r="J35" s="476"/>
      <c r="K35" s="270"/>
      <c r="L35" s="476"/>
      <c r="M35" s="270"/>
      <c r="N35" s="476"/>
      <c r="O35" s="270"/>
      <c r="P35" s="476"/>
      <c r="Q35" s="270"/>
      <c r="R35" s="477"/>
      <c r="S35" s="270"/>
      <c r="T35" s="476"/>
      <c r="U35" s="270"/>
      <c r="V35" s="270"/>
      <c r="W35" s="270"/>
      <c r="X35" s="476"/>
      <c r="Y35" s="270"/>
      <c r="Z35" s="266">
        <f>C35+E35+G35+I35+K34+M34+O35+U35+Q35+S35+Y35</f>
        <v>0</v>
      </c>
    </row>
    <row r="36" spans="1:26" ht="23.25">
      <c r="A36" s="475"/>
      <c r="B36" s="247"/>
      <c r="C36" s="75"/>
      <c r="D36" s="476"/>
      <c r="E36" s="270"/>
      <c r="F36" s="476"/>
      <c r="G36" s="270"/>
      <c r="H36" s="476"/>
      <c r="I36" s="270"/>
      <c r="J36" s="476"/>
      <c r="K36" s="270"/>
      <c r="L36" s="476"/>
      <c r="M36" s="270"/>
      <c r="N36" s="476"/>
      <c r="O36" s="270"/>
      <c r="P36" s="476"/>
      <c r="Q36" s="270"/>
      <c r="R36" s="477"/>
      <c r="S36" s="270"/>
      <c r="T36" s="476"/>
      <c r="U36" s="270"/>
      <c r="V36" s="270"/>
      <c r="W36" s="270"/>
      <c r="X36" s="476"/>
      <c r="Y36" s="270"/>
      <c r="Z36" s="266">
        <f>C36+E36+G36+I36+K35+M35+O36+U36+Q36+S36+Y36</f>
        <v>0</v>
      </c>
    </row>
    <row r="37" spans="1:26" ht="23.25">
      <c r="A37" s="475"/>
      <c r="B37" s="247"/>
      <c r="C37" s="75"/>
      <c r="D37" s="476"/>
      <c r="E37" s="270"/>
      <c r="F37" s="476"/>
      <c r="G37" s="270"/>
      <c r="H37" s="476"/>
      <c r="I37" s="270"/>
      <c r="J37" s="476"/>
      <c r="K37" s="270"/>
      <c r="L37" s="476"/>
      <c r="M37" s="270"/>
      <c r="N37" s="476"/>
      <c r="O37" s="270"/>
      <c r="P37" s="476"/>
      <c r="Q37" s="270"/>
      <c r="R37" s="477"/>
      <c r="S37" s="270"/>
      <c r="T37" s="476"/>
      <c r="U37" s="270"/>
      <c r="V37" s="270"/>
      <c r="W37" s="270"/>
      <c r="X37" s="476"/>
      <c r="Y37" s="270"/>
      <c r="Z37" s="266"/>
    </row>
    <row r="38" spans="1:31" s="244" customFormat="1" ht="23.25">
      <c r="A38" s="465" t="s">
        <v>287</v>
      </c>
      <c r="B38" s="265"/>
      <c r="C38" s="266">
        <f>SUM(C28:C37)</f>
        <v>-278500</v>
      </c>
      <c r="D38" s="466"/>
      <c r="E38" s="266">
        <f>SUM(E28:E37)</f>
        <v>0</v>
      </c>
      <c r="F38" s="266"/>
      <c r="G38" s="266">
        <f>SUM(G28:G37)</f>
        <v>-10000</v>
      </c>
      <c r="H38" s="266"/>
      <c r="I38" s="266">
        <f>SUM(I28:I37)</f>
        <v>0</v>
      </c>
      <c r="J38" s="466"/>
      <c r="K38" s="266">
        <f>SUM(K28:K37)</f>
        <v>0</v>
      </c>
      <c r="L38" s="466"/>
      <c r="M38" s="266">
        <f>SUM(M28:M37)</f>
        <v>0</v>
      </c>
      <c r="N38" s="266"/>
      <c r="O38" s="266">
        <f>SUM(O28:O37)</f>
        <v>0</v>
      </c>
      <c r="P38" s="466"/>
      <c r="Q38" s="266">
        <f>SUM(Q28:Q37)</f>
        <v>0</v>
      </c>
      <c r="R38" s="266"/>
      <c r="S38" s="266">
        <f>SUM(S28:S37)</f>
        <v>0</v>
      </c>
      <c r="T38" s="266">
        <f>SUM(T28:T37)</f>
        <v>0</v>
      </c>
      <c r="U38" s="266">
        <f>SUM(U28:U37)</f>
        <v>0</v>
      </c>
      <c r="V38" s="266"/>
      <c r="W38" s="266">
        <f>SUM(W28:W37)</f>
        <v>0</v>
      </c>
      <c r="X38" s="266"/>
      <c r="Y38" s="266">
        <f>SUM(Y28:Y37)</f>
        <v>0</v>
      </c>
      <c r="Z38" s="266">
        <f aca="true" t="shared" si="2" ref="Z38:Z80">C38+E38+G38+I38+K38+M38+O38+U38+Q38+S38+Y38</f>
        <v>-288500</v>
      </c>
      <c r="AA38" s="415"/>
      <c r="AB38" s="415"/>
      <c r="AC38" s="415"/>
      <c r="AD38" s="415"/>
      <c r="AE38" s="415"/>
    </row>
    <row r="39" spans="1:31" s="244" customFormat="1" ht="23.25">
      <c r="A39" s="488"/>
      <c r="B39" s="273"/>
      <c r="C39" s="262"/>
      <c r="D39" s="481"/>
      <c r="E39" s="262"/>
      <c r="F39" s="481"/>
      <c r="G39" s="262"/>
      <c r="H39" s="481"/>
      <c r="I39" s="262"/>
      <c r="J39" s="481"/>
      <c r="K39" s="262"/>
      <c r="L39" s="481"/>
      <c r="M39" s="262"/>
      <c r="N39" s="481"/>
      <c r="O39" s="262"/>
      <c r="P39" s="481"/>
      <c r="Q39" s="262"/>
      <c r="R39" s="482"/>
      <c r="S39" s="262"/>
      <c r="T39" s="481"/>
      <c r="U39" s="262"/>
      <c r="V39" s="262"/>
      <c r="W39" s="262"/>
      <c r="X39" s="481"/>
      <c r="Y39" s="262"/>
      <c r="Z39" s="483">
        <f t="shared" si="2"/>
        <v>0</v>
      </c>
      <c r="AA39" s="415"/>
      <c r="AB39" s="415"/>
      <c r="AC39" s="415"/>
      <c r="AD39" s="415"/>
      <c r="AE39" s="415"/>
    </row>
    <row r="40" spans="1:31" s="244" customFormat="1" ht="24" thickBot="1">
      <c r="A40" s="420" t="s">
        <v>288</v>
      </c>
      <c r="B40" s="268"/>
      <c r="C40" s="257">
        <f>SUM(C38:C38)</f>
        <v>-278500</v>
      </c>
      <c r="D40" s="472"/>
      <c r="E40" s="257">
        <f>SUM(E38:E38)</f>
        <v>0</v>
      </c>
      <c r="F40" s="472"/>
      <c r="G40" s="257">
        <f>SUM(G38:G38)</f>
        <v>-10000</v>
      </c>
      <c r="H40" s="472"/>
      <c r="I40" s="257">
        <f>SUM(I38:I38)</f>
        <v>0</v>
      </c>
      <c r="J40" s="472"/>
      <c r="K40" s="257">
        <f>SUM(K38:K38)</f>
        <v>0</v>
      </c>
      <c r="L40" s="472"/>
      <c r="M40" s="257">
        <f>SUM(M38:M38)</f>
        <v>0</v>
      </c>
      <c r="N40" s="472"/>
      <c r="O40" s="257">
        <f>SUM(O38:O38)</f>
        <v>0</v>
      </c>
      <c r="P40" s="472"/>
      <c r="Q40" s="257">
        <f>SUM(Q38:Q38)</f>
        <v>0</v>
      </c>
      <c r="R40" s="473"/>
      <c r="S40" s="257">
        <f>SUM(S38:S38)</f>
        <v>0</v>
      </c>
      <c r="T40" s="257">
        <f>SUM(T38:T38)</f>
        <v>0</v>
      </c>
      <c r="U40" s="257">
        <f>SUM(U38:U38)</f>
        <v>0</v>
      </c>
      <c r="V40" s="257"/>
      <c r="W40" s="257">
        <f>SUM(W38:W38)</f>
        <v>0</v>
      </c>
      <c r="X40" s="472"/>
      <c r="Y40" s="257">
        <f>SUM(Y38:Y38)</f>
        <v>0</v>
      </c>
      <c r="Z40" s="257">
        <f t="shared" si="2"/>
        <v>-288500</v>
      </c>
      <c r="AA40" s="415"/>
      <c r="AB40" s="415"/>
      <c r="AC40" s="415"/>
      <c r="AD40" s="415"/>
      <c r="AE40" s="415"/>
    </row>
    <row r="41" spans="1:26" ht="24" thickTop="1">
      <c r="A41" s="474" t="s">
        <v>12</v>
      </c>
      <c r="B41" s="245" t="s">
        <v>290</v>
      </c>
      <c r="C41" s="246">
        <v>54700</v>
      </c>
      <c r="D41" s="250"/>
      <c r="E41" s="246"/>
      <c r="F41" s="245" t="s">
        <v>294</v>
      </c>
      <c r="G41" s="246">
        <v>-28000</v>
      </c>
      <c r="H41" s="250"/>
      <c r="I41" s="246"/>
      <c r="J41" s="250"/>
      <c r="K41" s="246"/>
      <c r="L41" s="250" t="s">
        <v>303</v>
      </c>
      <c r="M41" s="246">
        <v>15000</v>
      </c>
      <c r="N41" s="250" t="s">
        <v>301</v>
      </c>
      <c r="O41" s="246">
        <v>129300</v>
      </c>
      <c r="P41" s="250"/>
      <c r="Q41" s="246"/>
      <c r="R41" s="249" t="s">
        <v>290</v>
      </c>
      <c r="S41" s="246">
        <v>169500</v>
      </c>
      <c r="T41" s="250"/>
      <c r="U41" s="246"/>
      <c r="V41" s="246"/>
      <c r="W41" s="246"/>
      <c r="X41" s="250"/>
      <c r="Y41" s="246"/>
      <c r="Z41" s="334">
        <f t="shared" si="2"/>
        <v>340500</v>
      </c>
    </row>
    <row r="42" spans="1:26" ht="23.25">
      <c r="A42" s="489"/>
      <c r="B42" s="247" t="s">
        <v>297</v>
      </c>
      <c r="C42" s="75">
        <v>30000</v>
      </c>
      <c r="D42" s="252"/>
      <c r="E42" s="75"/>
      <c r="F42" s="252" t="s">
        <v>295</v>
      </c>
      <c r="G42" s="75">
        <v>-20000</v>
      </c>
      <c r="H42" s="252"/>
      <c r="I42" s="75"/>
      <c r="J42" s="252"/>
      <c r="K42" s="75"/>
      <c r="L42" s="252" t="s">
        <v>303</v>
      </c>
      <c r="M42" s="75">
        <v>33800</v>
      </c>
      <c r="N42" s="252" t="s">
        <v>291</v>
      </c>
      <c r="O42" s="75">
        <v>-8800</v>
      </c>
      <c r="P42" s="252"/>
      <c r="Q42" s="75"/>
      <c r="R42" s="251" t="s">
        <v>304</v>
      </c>
      <c r="S42" s="75">
        <v>-38000</v>
      </c>
      <c r="T42" s="252"/>
      <c r="U42" s="75"/>
      <c r="V42" s="75"/>
      <c r="W42" s="75"/>
      <c r="X42" s="252"/>
      <c r="Y42" s="75"/>
      <c r="Z42" s="266">
        <f t="shared" si="2"/>
        <v>-3000</v>
      </c>
    </row>
    <row r="43" spans="1:26" ht="23.25">
      <c r="A43" s="489"/>
      <c r="B43" s="247" t="s">
        <v>293</v>
      </c>
      <c r="C43" s="75">
        <v>56000</v>
      </c>
      <c r="D43" s="252"/>
      <c r="E43" s="75"/>
      <c r="F43" s="252" t="s">
        <v>297</v>
      </c>
      <c r="G43" s="12">
        <v>30000</v>
      </c>
      <c r="H43" s="252"/>
      <c r="I43" s="75"/>
      <c r="J43" s="252"/>
      <c r="K43" s="75"/>
      <c r="L43" s="252" t="s">
        <v>306</v>
      </c>
      <c r="M43" s="75">
        <v>-53064</v>
      </c>
      <c r="N43" s="252" t="s">
        <v>293</v>
      </c>
      <c r="O43" s="75">
        <v>116900</v>
      </c>
      <c r="P43" s="252"/>
      <c r="Q43" s="75"/>
      <c r="R43" s="251"/>
      <c r="S43" s="75"/>
      <c r="T43" s="252"/>
      <c r="U43" s="75"/>
      <c r="V43" s="75"/>
      <c r="W43" s="75"/>
      <c r="X43" s="252"/>
      <c r="Y43" s="75"/>
      <c r="Z43" s="266">
        <f t="shared" si="2"/>
        <v>149836</v>
      </c>
    </row>
    <row r="44" spans="1:26" ht="23.25">
      <c r="A44" s="489"/>
      <c r="B44" s="247" t="s">
        <v>293</v>
      </c>
      <c r="C44" s="75">
        <v>72300</v>
      </c>
      <c r="D44" s="252"/>
      <c r="E44" s="75"/>
      <c r="F44" s="252" t="s">
        <v>303</v>
      </c>
      <c r="G44" s="75">
        <v>10000</v>
      </c>
      <c r="H44" s="252"/>
      <c r="I44" s="75"/>
      <c r="J44" s="252"/>
      <c r="K44" s="75"/>
      <c r="L44" s="252"/>
      <c r="M44" s="75"/>
      <c r="N44" s="252" t="s">
        <v>300</v>
      </c>
      <c r="O44" s="75">
        <v>29700</v>
      </c>
      <c r="P44" s="252"/>
      <c r="Q44" s="75"/>
      <c r="R44" s="251"/>
      <c r="S44" s="75"/>
      <c r="T44" s="252"/>
      <c r="U44" s="75"/>
      <c r="V44" s="75"/>
      <c r="W44" s="75"/>
      <c r="X44" s="252"/>
      <c r="Y44" s="75"/>
      <c r="Z44" s="266">
        <f t="shared" si="2"/>
        <v>112000</v>
      </c>
    </row>
    <row r="45" spans="1:26" ht="23.25">
      <c r="A45" s="489"/>
      <c r="B45" s="247" t="s">
        <v>305</v>
      </c>
      <c r="C45" s="75">
        <v>-20000</v>
      </c>
      <c r="D45" s="252"/>
      <c r="E45" s="75"/>
      <c r="F45" s="252" t="s">
        <v>300</v>
      </c>
      <c r="G45" s="75">
        <v>53540</v>
      </c>
      <c r="H45" s="252"/>
      <c r="I45" s="75"/>
      <c r="J45" s="252"/>
      <c r="K45" s="75"/>
      <c r="L45" s="252"/>
      <c r="M45" s="75"/>
      <c r="N45" s="252" t="s">
        <v>299</v>
      </c>
      <c r="O45" s="75">
        <v>94300</v>
      </c>
      <c r="P45" s="252"/>
      <c r="Q45" s="75"/>
      <c r="R45" s="251"/>
      <c r="S45" s="75"/>
      <c r="T45" s="252"/>
      <c r="U45" s="75"/>
      <c r="V45" s="75"/>
      <c r="W45" s="75"/>
      <c r="X45" s="252"/>
      <c r="Y45" s="75"/>
      <c r="Z45" s="266">
        <f t="shared" si="2"/>
        <v>127840</v>
      </c>
    </row>
    <row r="46" spans="1:26" ht="23.25">
      <c r="A46" s="489"/>
      <c r="B46" s="247" t="s">
        <v>305</v>
      </c>
      <c r="C46" s="75">
        <v>-20000</v>
      </c>
      <c r="D46" s="252"/>
      <c r="E46" s="75"/>
      <c r="F46" s="252" t="s">
        <v>306</v>
      </c>
      <c r="G46" s="75">
        <v>-13540</v>
      </c>
      <c r="H46" s="252"/>
      <c r="I46" s="75"/>
      <c r="J46" s="252"/>
      <c r="K46" s="75"/>
      <c r="L46" s="252"/>
      <c r="M46" s="75"/>
      <c r="N46" s="252"/>
      <c r="O46" s="75"/>
      <c r="P46" s="252"/>
      <c r="Q46" s="75"/>
      <c r="R46" s="251"/>
      <c r="S46" s="75"/>
      <c r="T46" s="252"/>
      <c r="U46" s="75"/>
      <c r="V46" s="75"/>
      <c r="W46" s="75"/>
      <c r="X46" s="252"/>
      <c r="Y46" s="75"/>
      <c r="Z46" s="266">
        <f t="shared" si="2"/>
        <v>-33540</v>
      </c>
    </row>
    <row r="47" spans="1:26" ht="23.25">
      <c r="A47" s="490"/>
      <c r="B47" s="480" t="s">
        <v>305</v>
      </c>
      <c r="C47" s="262">
        <v>-30000</v>
      </c>
      <c r="D47" s="481"/>
      <c r="E47" s="262"/>
      <c r="F47" s="481"/>
      <c r="G47" s="262"/>
      <c r="H47" s="481"/>
      <c r="I47" s="262"/>
      <c r="J47" s="481"/>
      <c r="K47" s="262"/>
      <c r="L47" s="481"/>
      <c r="M47" s="262"/>
      <c r="N47" s="481"/>
      <c r="O47" s="262"/>
      <c r="P47" s="481"/>
      <c r="Q47" s="262"/>
      <c r="R47" s="482"/>
      <c r="S47" s="262"/>
      <c r="T47" s="481"/>
      <c r="U47" s="262"/>
      <c r="V47" s="262"/>
      <c r="W47" s="262"/>
      <c r="X47" s="481"/>
      <c r="Y47" s="262"/>
      <c r="Z47" s="483">
        <f t="shared" si="2"/>
        <v>-30000</v>
      </c>
    </row>
    <row r="48" spans="1:26" ht="23.25">
      <c r="A48" s="491"/>
      <c r="B48" s="269" t="s">
        <v>300</v>
      </c>
      <c r="C48" s="270">
        <v>100000</v>
      </c>
      <c r="D48" s="476"/>
      <c r="E48" s="270"/>
      <c r="F48" s="476"/>
      <c r="G48" s="270"/>
      <c r="H48" s="476"/>
      <c r="I48" s="270"/>
      <c r="J48" s="476"/>
      <c r="K48" s="270"/>
      <c r="L48" s="476"/>
      <c r="M48" s="270"/>
      <c r="N48" s="476"/>
      <c r="O48" s="270"/>
      <c r="P48" s="476"/>
      <c r="Q48" s="270"/>
      <c r="R48" s="477"/>
      <c r="S48" s="270"/>
      <c r="T48" s="476"/>
      <c r="U48" s="270"/>
      <c r="V48" s="270"/>
      <c r="W48" s="270"/>
      <c r="X48" s="476"/>
      <c r="Y48" s="270"/>
      <c r="Z48" s="400">
        <f t="shared" si="2"/>
        <v>100000</v>
      </c>
    </row>
    <row r="49" spans="1:26" ht="23.25">
      <c r="A49" s="489"/>
      <c r="B49" s="247" t="s">
        <v>306</v>
      </c>
      <c r="C49" s="75">
        <v>-80000</v>
      </c>
      <c r="D49" s="252"/>
      <c r="E49" s="75"/>
      <c r="F49" s="252"/>
      <c r="G49" s="75"/>
      <c r="H49" s="252"/>
      <c r="I49" s="75"/>
      <c r="J49" s="252"/>
      <c r="K49" s="75"/>
      <c r="L49" s="252"/>
      <c r="M49" s="75"/>
      <c r="N49" s="252"/>
      <c r="O49" s="75"/>
      <c r="P49" s="252"/>
      <c r="Q49" s="75"/>
      <c r="R49" s="251"/>
      <c r="S49" s="75"/>
      <c r="T49" s="252"/>
      <c r="U49" s="75"/>
      <c r="V49" s="75"/>
      <c r="W49" s="75"/>
      <c r="X49" s="252"/>
      <c r="Y49" s="75"/>
      <c r="Z49" s="266">
        <f t="shared" si="2"/>
        <v>-80000</v>
      </c>
    </row>
    <row r="50" spans="1:26" ht="23.25">
      <c r="A50" s="489"/>
      <c r="B50" s="247" t="s">
        <v>285</v>
      </c>
      <c r="C50" s="75">
        <v>30000</v>
      </c>
      <c r="D50" s="252"/>
      <c r="E50" s="75"/>
      <c r="F50" s="252"/>
      <c r="G50" s="75"/>
      <c r="H50" s="252"/>
      <c r="I50" s="75"/>
      <c r="J50" s="252"/>
      <c r="K50" s="75"/>
      <c r="L50" s="252"/>
      <c r="M50" s="75"/>
      <c r="N50" s="252"/>
      <c r="O50" s="75"/>
      <c r="P50" s="252"/>
      <c r="Q50" s="75"/>
      <c r="R50" s="251"/>
      <c r="S50" s="75"/>
      <c r="T50" s="252"/>
      <c r="U50" s="75"/>
      <c r="V50" s="75"/>
      <c r="W50" s="75"/>
      <c r="X50" s="252"/>
      <c r="Y50" s="75"/>
      <c r="Z50" s="266">
        <f>C50+E50+G50+I50+K50+M50+O50+U50+Q50+S50+Y50</f>
        <v>30000</v>
      </c>
    </row>
    <row r="51" spans="1:26" ht="23.25">
      <c r="A51" s="489"/>
      <c r="B51" s="247" t="s">
        <v>286</v>
      </c>
      <c r="C51" s="75">
        <v>25000</v>
      </c>
      <c r="D51" s="252"/>
      <c r="E51" s="75"/>
      <c r="F51" s="252"/>
      <c r="G51" s="75"/>
      <c r="H51" s="252"/>
      <c r="I51" s="75"/>
      <c r="J51" s="252"/>
      <c r="K51" s="75"/>
      <c r="L51" s="252"/>
      <c r="M51" s="75"/>
      <c r="N51" s="252"/>
      <c r="O51" s="75"/>
      <c r="P51" s="252"/>
      <c r="Q51" s="75"/>
      <c r="R51" s="251"/>
      <c r="S51" s="75"/>
      <c r="T51" s="252"/>
      <c r="U51" s="75"/>
      <c r="V51" s="75"/>
      <c r="W51" s="75"/>
      <c r="X51" s="252"/>
      <c r="Y51" s="75"/>
      <c r="Z51" s="266">
        <f t="shared" si="2"/>
        <v>25000</v>
      </c>
    </row>
    <row r="52" spans="1:26" ht="23.25">
      <c r="A52" s="489"/>
      <c r="B52" s="247"/>
      <c r="C52" s="75"/>
      <c r="D52" s="252"/>
      <c r="E52" s="75"/>
      <c r="F52" s="252"/>
      <c r="G52" s="75"/>
      <c r="H52" s="252"/>
      <c r="I52" s="75"/>
      <c r="J52" s="252"/>
      <c r="K52" s="75"/>
      <c r="L52" s="252"/>
      <c r="M52" s="75"/>
      <c r="N52" s="252"/>
      <c r="O52" s="75"/>
      <c r="P52" s="252"/>
      <c r="Q52" s="75"/>
      <c r="R52" s="251"/>
      <c r="S52" s="75"/>
      <c r="T52" s="252"/>
      <c r="U52" s="75"/>
      <c r="V52" s="75"/>
      <c r="W52" s="75"/>
      <c r="X52" s="252"/>
      <c r="Y52" s="75"/>
      <c r="Z52" s="266">
        <f t="shared" si="2"/>
        <v>0</v>
      </c>
    </row>
    <row r="53" spans="1:26" ht="23.25">
      <c r="A53" s="489"/>
      <c r="B53" s="247"/>
      <c r="C53" s="75"/>
      <c r="D53" s="252"/>
      <c r="E53" s="75"/>
      <c r="F53" s="252"/>
      <c r="G53" s="75"/>
      <c r="H53" s="252"/>
      <c r="I53" s="75"/>
      <c r="J53" s="252"/>
      <c r="K53" s="75"/>
      <c r="L53" s="252"/>
      <c r="M53" s="75"/>
      <c r="N53" s="252"/>
      <c r="O53" s="75"/>
      <c r="P53" s="252"/>
      <c r="Q53" s="75"/>
      <c r="R53" s="251"/>
      <c r="S53" s="75"/>
      <c r="T53" s="252"/>
      <c r="U53" s="75"/>
      <c r="V53" s="75"/>
      <c r="W53" s="75"/>
      <c r="X53" s="252"/>
      <c r="Y53" s="75"/>
      <c r="Z53" s="266">
        <f t="shared" si="2"/>
        <v>0</v>
      </c>
    </row>
    <row r="54" spans="1:26" ht="23.25">
      <c r="A54" s="489"/>
      <c r="B54" s="247"/>
      <c r="C54" s="75"/>
      <c r="D54" s="252"/>
      <c r="E54" s="75"/>
      <c r="F54" s="252"/>
      <c r="G54" s="75"/>
      <c r="H54" s="252"/>
      <c r="I54" s="75"/>
      <c r="J54" s="252"/>
      <c r="K54" s="75"/>
      <c r="L54" s="252"/>
      <c r="M54" s="75"/>
      <c r="N54" s="252"/>
      <c r="O54" s="75"/>
      <c r="P54" s="252"/>
      <c r="Q54" s="75"/>
      <c r="R54" s="251"/>
      <c r="S54" s="75"/>
      <c r="T54" s="252"/>
      <c r="U54" s="75"/>
      <c r="V54" s="75"/>
      <c r="W54" s="75"/>
      <c r="X54" s="252"/>
      <c r="Y54" s="75"/>
      <c r="Z54" s="266">
        <f t="shared" si="2"/>
        <v>0</v>
      </c>
    </row>
    <row r="55" spans="1:26" s="415" customFormat="1" ht="23.25">
      <c r="A55" s="465" t="s">
        <v>287</v>
      </c>
      <c r="B55" s="265"/>
      <c r="C55" s="266">
        <f>SUM(C41:C54)</f>
        <v>218000</v>
      </c>
      <c r="D55" s="492"/>
      <c r="E55" s="266">
        <f>SUM(E41:E51)</f>
        <v>0</v>
      </c>
      <c r="F55" s="493"/>
      <c r="G55" s="266">
        <f>SUM(G41:G51)</f>
        <v>32000</v>
      </c>
      <c r="H55" s="493"/>
      <c r="I55" s="266">
        <f>SUM(I41:I51)</f>
        <v>0</v>
      </c>
      <c r="J55" s="492"/>
      <c r="K55" s="266">
        <f>SUM(K41:K51)</f>
        <v>0</v>
      </c>
      <c r="L55" s="492"/>
      <c r="M55" s="266">
        <f>SUM(M41:M51)</f>
        <v>-4264</v>
      </c>
      <c r="N55" s="493"/>
      <c r="O55" s="266">
        <f>SUM(O41:O51)</f>
        <v>361400</v>
      </c>
      <c r="P55" s="492"/>
      <c r="Q55" s="266">
        <f>SUM(Q41:Q51)</f>
        <v>0</v>
      </c>
      <c r="R55" s="493"/>
      <c r="S55" s="266">
        <f>SUM(S41:S51)</f>
        <v>131500</v>
      </c>
      <c r="T55" s="266">
        <f>SUM(T41:T51)</f>
        <v>0</v>
      </c>
      <c r="U55" s="266">
        <f>SUM(U41:U51)</f>
        <v>0</v>
      </c>
      <c r="V55" s="266"/>
      <c r="W55" s="266">
        <f>SUM(W41:W51)</f>
        <v>0</v>
      </c>
      <c r="X55" s="493"/>
      <c r="Y55" s="266">
        <f>SUM(Y41:Y51)</f>
        <v>0</v>
      </c>
      <c r="Z55" s="266">
        <f>C55+E55+G55+I55+K55+M55+O55+U55+Q55+S55+Y55</f>
        <v>738636</v>
      </c>
    </row>
    <row r="56" spans="1:31" s="244" customFormat="1" ht="23.25">
      <c r="A56" s="488"/>
      <c r="B56" s="273"/>
      <c r="C56" s="262"/>
      <c r="D56" s="481"/>
      <c r="E56" s="262"/>
      <c r="F56" s="481"/>
      <c r="G56" s="483"/>
      <c r="H56" s="494"/>
      <c r="I56" s="483"/>
      <c r="J56" s="494"/>
      <c r="K56" s="262"/>
      <c r="L56" s="481"/>
      <c r="M56" s="483"/>
      <c r="N56" s="494"/>
      <c r="O56" s="262"/>
      <c r="P56" s="494"/>
      <c r="Q56" s="262"/>
      <c r="R56" s="482"/>
      <c r="S56" s="483"/>
      <c r="T56" s="481"/>
      <c r="U56" s="483"/>
      <c r="V56" s="483"/>
      <c r="W56" s="483"/>
      <c r="X56" s="494"/>
      <c r="Y56" s="483"/>
      <c r="Z56" s="483">
        <f t="shared" si="2"/>
        <v>0</v>
      </c>
      <c r="AA56" s="415"/>
      <c r="AB56" s="415"/>
      <c r="AC56" s="415"/>
      <c r="AD56" s="415"/>
      <c r="AE56" s="415"/>
    </row>
    <row r="57" spans="1:31" s="244" customFormat="1" ht="24" thickBot="1">
      <c r="A57" s="420" t="s">
        <v>288</v>
      </c>
      <c r="B57" s="268"/>
      <c r="C57" s="257">
        <f>SUM(C55:C55)</f>
        <v>218000</v>
      </c>
      <c r="D57" s="472"/>
      <c r="E57" s="257">
        <f>SUM(E55:E55)</f>
        <v>0</v>
      </c>
      <c r="F57" s="472"/>
      <c r="G57" s="257">
        <f>SUM(G55:G55)</f>
        <v>32000</v>
      </c>
      <c r="H57" s="472"/>
      <c r="I57" s="257">
        <f>SUM(I55:I55)</f>
        <v>0</v>
      </c>
      <c r="J57" s="472"/>
      <c r="K57" s="257">
        <f>SUM(K55:K55)</f>
        <v>0</v>
      </c>
      <c r="L57" s="472"/>
      <c r="M57" s="257">
        <f>SUM(M55:M55)</f>
        <v>-4264</v>
      </c>
      <c r="N57" s="472"/>
      <c r="O57" s="257">
        <f>SUM(O55:O55)</f>
        <v>361400</v>
      </c>
      <c r="P57" s="472"/>
      <c r="Q57" s="257">
        <f>SUM(Q55:Q55)</f>
        <v>0</v>
      </c>
      <c r="R57" s="473"/>
      <c r="S57" s="257">
        <f>SUM(S55:S55)</f>
        <v>131500</v>
      </c>
      <c r="T57" s="257">
        <f>SUM(T55:T55)</f>
        <v>0</v>
      </c>
      <c r="U57" s="257">
        <f>SUM(U55:U55)</f>
        <v>0</v>
      </c>
      <c r="V57" s="257"/>
      <c r="W57" s="257">
        <f>SUM(W55:W55)</f>
        <v>0</v>
      </c>
      <c r="X57" s="472"/>
      <c r="Y57" s="257">
        <f>SUM(Y55:Y55)</f>
        <v>0</v>
      </c>
      <c r="Z57" s="257">
        <f t="shared" si="2"/>
        <v>738636</v>
      </c>
      <c r="AA57" s="415"/>
      <c r="AB57" s="415"/>
      <c r="AC57" s="415"/>
      <c r="AD57" s="415"/>
      <c r="AE57" s="415"/>
    </row>
    <row r="58" spans="1:26" ht="24" thickTop="1">
      <c r="A58" s="474" t="s">
        <v>13</v>
      </c>
      <c r="B58" s="245" t="s">
        <v>290</v>
      </c>
      <c r="C58" s="495">
        <v>30000</v>
      </c>
      <c r="D58" s="250"/>
      <c r="E58" s="246"/>
      <c r="F58" s="250" t="s">
        <v>292</v>
      </c>
      <c r="G58" s="246">
        <v>28000</v>
      </c>
      <c r="H58" s="250"/>
      <c r="I58" s="246"/>
      <c r="J58" s="250"/>
      <c r="K58" s="246"/>
      <c r="L58" s="250" t="s">
        <v>289</v>
      </c>
      <c r="M58" s="246">
        <v>-20000</v>
      </c>
      <c r="N58" s="250" t="s">
        <v>291</v>
      </c>
      <c r="O58" s="246">
        <v>-40000</v>
      </c>
      <c r="P58" s="250"/>
      <c r="Q58" s="246"/>
      <c r="R58" s="249"/>
      <c r="S58" s="246"/>
      <c r="T58" s="250"/>
      <c r="U58" s="246"/>
      <c r="V58" s="246"/>
      <c r="W58" s="246"/>
      <c r="X58" s="250"/>
      <c r="Y58" s="246"/>
      <c r="Z58" s="334">
        <f t="shared" si="2"/>
        <v>-2000</v>
      </c>
    </row>
    <row r="59" spans="1:26" ht="23.25">
      <c r="A59" s="489" t="s">
        <v>3</v>
      </c>
      <c r="B59" s="269" t="s">
        <v>303</v>
      </c>
      <c r="C59" s="270">
        <v>20000</v>
      </c>
      <c r="D59" s="252"/>
      <c r="E59" s="75"/>
      <c r="F59" s="247" t="s">
        <v>290</v>
      </c>
      <c r="G59" s="75">
        <v>20000</v>
      </c>
      <c r="H59" s="252"/>
      <c r="I59" s="75"/>
      <c r="J59" s="252"/>
      <c r="K59" s="75"/>
      <c r="L59" s="252" t="s">
        <v>285</v>
      </c>
      <c r="M59" s="75">
        <v>40000</v>
      </c>
      <c r="N59" s="252" t="s">
        <v>298</v>
      </c>
      <c r="O59" s="12">
        <v>-21900</v>
      </c>
      <c r="P59" s="252"/>
      <c r="Q59" s="75"/>
      <c r="R59" s="251"/>
      <c r="S59" s="75"/>
      <c r="T59" s="252"/>
      <c r="U59" s="75"/>
      <c r="V59" s="75"/>
      <c r="W59" s="75"/>
      <c r="X59" s="252"/>
      <c r="Y59" s="75"/>
      <c r="Z59" s="266">
        <f t="shared" si="2"/>
        <v>58100</v>
      </c>
    </row>
    <row r="60" spans="1:26" ht="23.25">
      <c r="A60" s="489"/>
      <c r="B60" s="247" t="s">
        <v>303</v>
      </c>
      <c r="C60" s="75">
        <v>20000</v>
      </c>
      <c r="D60" s="252"/>
      <c r="E60" s="75"/>
      <c r="F60" s="252"/>
      <c r="G60" s="75"/>
      <c r="H60" s="252"/>
      <c r="I60" s="75"/>
      <c r="J60" s="252"/>
      <c r="K60" s="75"/>
      <c r="L60" s="252" t="s">
        <v>289</v>
      </c>
      <c r="M60" s="75">
        <v>-40000</v>
      </c>
      <c r="N60" s="252" t="s">
        <v>285</v>
      </c>
      <c r="O60" s="75">
        <v>20000</v>
      </c>
      <c r="P60" s="252"/>
      <c r="Q60" s="75"/>
      <c r="R60" s="251"/>
      <c r="S60" s="75"/>
      <c r="T60" s="252"/>
      <c r="U60" s="75"/>
      <c r="V60" s="75"/>
      <c r="W60" s="75"/>
      <c r="X60" s="252"/>
      <c r="Y60" s="75"/>
      <c r="Z60" s="266">
        <f t="shared" si="2"/>
        <v>0</v>
      </c>
    </row>
    <row r="61" spans="1:26" ht="23.25">
      <c r="A61" s="489"/>
      <c r="B61" s="247" t="s">
        <v>306</v>
      </c>
      <c r="C61" s="75">
        <v>-20000</v>
      </c>
      <c r="D61" s="252"/>
      <c r="E61" s="75"/>
      <c r="F61" s="252"/>
      <c r="G61" s="75"/>
      <c r="H61" s="252"/>
      <c r="I61" s="75"/>
      <c r="J61" s="252"/>
      <c r="K61" s="75"/>
      <c r="L61" s="252" t="s">
        <v>286</v>
      </c>
      <c r="M61" s="75">
        <v>30000</v>
      </c>
      <c r="N61" s="252"/>
      <c r="O61" s="75"/>
      <c r="P61" s="252"/>
      <c r="Q61" s="75"/>
      <c r="R61" s="251"/>
      <c r="S61" s="75"/>
      <c r="T61" s="252"/>
      <c r="U61" s="75"/>
      <c r="V61" s="75"/>
      <c r="W61" s="75"/>
      <c r="X61" s="252"/>
      <c r="Y61" s="75"/>
      <c r="Z61" s="266">
        <f t="shared" si="2"/>
        <v>10000</v>
      </c>
    </row>
    <row r="62" spans="1:26" ht="23.25">
      <c r="A62" s="489"/>
      <c r="B62" s="247" t="s">
        <v>306</v>
      </c>
      <c r="C62" s="75">
        <v>-29700</v>
      </c>
      <c r="D62" s="252"/>
      <c r="E62" s="75"/>
      <c r="F62" s="252"/>
      <c r="G62" s="75"/>
      <c r="H62" s="252"/>
      <c r="I62" s="75"/>
      <c r="J62" s="252"/>
      <c r="K62" s="75"/>
      <c r="L62" s="252" t="s">
        <v>284</v>
      </c>
      <c r="M62" s="75">
        <v>-30000</v>
      </c>
      <c r="N62" s="252"/>
      <c r="O62" s="75"/>
      <c r="P62" s="252"/>
      <c r="Q62" s="75"/>
      <c r="R62" s="251"/>
      <c r="S62" s="75"/>
      <c r="T62" s="252"/>
      <c r="U62" s="75"/>
      <c r="V62" s="75"/>
      <c r="W62" s="75"/>
      <c r="X62" s="252"/>
      <c r="Y62" s="75"/>
      <c r="Z62" s="266">
        <f t="shared" si="2"/>
        <v>-59700</v>
      </c>
    </row>
    <row r="63" spans="1:26" ht="23.25">
      <c r="A63" s="489"/>
      <c r="B63" s="247" t="s">
        <v>299</v>
      </c>
      <c r="C63" s="75">
        <v>27200</v>
      </c>
      <c r="D63" s="252"/>
      <c r="E63" s="75"/>
      <c r="F63" s="252"/>
      <c r="G63" s="75"/>
      <c r="H63" s="252"/>
      <c r="I63" s="75"/>
      <c r="J63" s="252"/>
      <c r="K63" s="75"/>
      <c r="L63" s="252"/>
      <c r="M63" s="75"/>
      <c r="N63" s="252"/>
      <c r="O63" s="75"/>
      <c r="P63" s="252"/>
      <c r="Q63" s="75"/>
      <c r="R63" s="251"/>
      <c r="S63" s="75"/>
      <c r="T63" s="252"/>
      <c r="U63" s="75"/>
      <c r="V63" s="75"/>
      <c r="W63" s="75"/>
      <c r="X63" s="252"/>
      <c r="Y63" s="75"/>
      <c r="Z63" s="266">
        <f t="shared" si="2"/>
        <v>27200</v>
      </c>
    </row>
    <row r="64" spans="1:26" ht="23.25">
      <c r="A64" s="489"/>
      <c r="B64" s="247" t="s">
        <v>286</v>
      </c>
      <c r="C64" s="75">
        <v>120089</v>
      </c>
      <c r="D64" s="252"/>
      <c r="E64" s="75"/>
      <c r="F64" s="252"/>
      <c r="G64" s="75"/>
      <c r="H64" s="252"/>
      <c r="I64" s="75"/>
      <c r="J64" s="252"/>
      <c r="K64" s="75"/>
      <c r="L64" s="252"/>
      <c r="M64" s="75"/>
      <c r="N64" s="252"/>
      <c r="O64" s="75"/>
      <c r="P64" s="252"/>
      <c r="Q64" s="75"/>
      <c r="R64" s="251"/>
      <c r="S64" s="75"/>
      <c r="T64" s="252"/>
      <c r="U64" s="75"/>
      <c r="V64" s="75"/>
      <c r="W64" s="75"/>
      <c r="X64" s="252"/>
      <c r="Y64" s="75"/>
      <c r="Z64" s="266">
        <f t="shared" si="2"/>
        <v>120089</v>
      </c>
    </row>
    <row r="65" spans="1:26" ht="23.25">
      <c r="A65" s="489"/>
      <c r="B65" s="247"/>
      <c r="C65" s="75"/>
      <c r="D65" s="252"/>
      <c r="E65" s="75"/>
      <c r="F65" s="252"/>
      <c r="G65" s="75"/>
      <c r="H65" s="252"/>
      <c r="I65" s="75"/>
      <c r="J65" s="252"/>
      <c r="K65" s="75"/>
      <c r="L65" s="252"/>
      <c r="M65" s="75"/>
      <c r="N65" s="252"/>
      <c r="O65" s="75"/>
      <c r="P65" s="252"/>
      <c r="Q65" s="75"/>
      <c r="R65" s="251"/>
      <c r="S65" s="75"/>
      <c r="T65" s="252"/>
      <c r="U65" s="75"/>
      <c r="V65" s="75"/>
      <c r="W65" s="75"/>
      <c r="X65" s="252"/>
      <c r="Y65" s="75"/>
      <c r="Z65" s="266">
        <f t="shared" si="2"/>
        <v>0</v>
      </c>
    </row>
    <row r="66" spans="1:26" ht="23.25">
      <c r="A66" s="489"/>
      <c r="B66" s="247"/>
      <c r="C66" s="75"/>
      <c r="D66" s="252"/>
      <c r="E66" s="75"/>
      <c r="F66" s="252"/>
      <c r="G66" s="75"/>
      <c r="H66" s="252"/>
      <c r="I66" s="75"/>
      <c r="J66" s="252"/>
      <c r="K66" s="75"/>
      <c r="L66" s="252"/>
      <c r="M66" s="75"/>
      <c r="N66" s="252"/>
      <c r="O66" s="75"/>
      <c r="P66" s="252"/>
      <c r="Q66" s="75"/>
      <c r="R66" s="251"/>
      <c r="S66" s="75"/>
      <c r="T66" s="252"/>
      <c r="U66" s="75"/>
      <c r="V66" s="75"/>
      <c r="W66" s="75"/>
      <c r="X66" s="252"/>
      <c r="Y66" s="75"/>
      <c r="Z66" s="266">
        <f t="shared" si="2"/>
        <v>0</v>
      </c>
    </row>
    <row r="67" spans="1:26" ht="23.25">
      <c r="A67" s="489"/>
      <c r="B67" s="247"/>
      <c r="C67" s="75"/>
      <c r="D67" s="252"/>
      <c r="E67" s="75"/>
      <c r="F67" s="252"/>
      <c r="G67" s="75"/>
      <c r="H67" s="252"/>
      <c r="I67" s="75"/>
      <c r="J67" s="252"/>
      <c r="K67" s="75"/>
      <c r="L67" s="252"/>
      <c r="M67" s="75"/>
      <c r="N67" s="252"/>
      <c r="O67" s="75"/>
      <c r="P67" s="252"/>
      <c r="Q67" s="75"/>
      <c r="R67" s="251"/>
      <c r="S67" s="75"/>
      <c r="T67" s="252"/>
      <c r="U67" s="75"/>
      <c r="V67" s="75"/>
      <c r="W67" s="75"/>
      <c r="X67" s="252"/>
      <c r="Y67" s="75"/>
      <c r="Z67" s="266">
        <f t="shared" si="2"/>
        <v>0</v>
      </c>
    </row>
    <row r="68" spans="1:26" s="415" customFormat="1" ht="23.25">
      <c r="A68" s="465" t="s">
        <v>287</v>
      </c>
      <c r="B68" s="265"/>
      <c r="C68" s="266">
        <f>SUM(C58:C67)</f>
        <v>167589</v>
      </c>
      <c r="D68" s="492"/>
      <c r="E68" s="266">
        <f>SUM(E58:E67)</f>
        <v>0</v>
      </c>
      <c r="F68" s="493"/>
      <c r="G68" s="266">
        <f>SUM(G58:G67)</f>
        <v>48000</v>
      </c>
      <c r="H68" s="493"/>
      <c r="I68" s="266">
        <f>SUM(I58:I67)</f>
        <v>0</v>
      </c>
      <c r="J68" s="492"/>
      <c r="K68" s="266">
        <f>SUM(K58:K67)</f>
        <v>0</v>
      </c>
      <c r="L68" s="492"/>
      <c r="M68" s="266">
        <f>SUM(M58:M67)</f>
        <v>-20000</v>
      </c>
      <c r="N68" s="493"/>
      <c r="O68" s="266">
        <f>SUM(O58:O67)</f>
        <v>-41900</v>
      </c>
      <c r="P68" s="492"/>
      <c r="Q68" s="266">
        <f>SUM(Q58:Q67)</f>
        <v>0</v>
      </c>
      <c r="R68" s="493"/>
      <c r="S68" s="266">
        <f>SUM(S58:S67)</f>
        <v>0</v>
      </c>
      <c r="T68" s="266">
        <f>SUM(T58:T67)</f>
        <v>0</v>
      </c>
      <c r="U68" s="266">
        <f>SUM(U58:U67)</f>
        <v>0</v>
      </c>
      <c r="V68" s="266"/>
      <c r="W68" s="266">
        <f>SUM(W58:W67)</f>
        <v>0</v>
      </c>
      <c r="X68" s="493"/>
      <c r="Y68" s="266">
        <f>SUM(Y58:Y67)</f>
        <v>0</v>
      </c>
      <c r="Z68" s="266">
        <f t="shared" si="2"/>
        <v>153689</v>
      </c>
    </row>
    <row r="69" spans="1:31" s="244" customFormat="1" ht="23.25">
      <c r="A69" s="496"/>
      <c r="B69" s="273"/>
      <c r="C69" s="262"/>
      <c r="D69" s="481"/>
      <c r="E69" s="262"/>
      <c r="F69" s="481"/>
      <c r="G69" s="262"/>
      <c r="H69" s="481"/>
      <c r="I69" s="262"/>
      <c r="J69" s="481"/>
      <c r="K69" s="262"/>
      <c r="L69" s="481"/>
      <c r="M69" s="262">
        <v>0</v>
      </c>
      <c r="N69" s="481"/>
      <c r="O69" s="262">
        <v>0</v>
      </c>
      <c r="P69" s="481"/>
      <c r="Q69" s="262">
        <v>0</v>
      </c>
      <c r="R69" s="482"/>
      <c r="S69" s="262"/>
      <c r="T69" s="481"/>
      <c r="U69" s="262"/>
      <c r="V69" s="262"/>
      <c r="W69" s="262"/>
      <c r="X69" s="481"/>
      <c r="Y69" s="262">
        <v>0</v>
      </c>
      <c r="Z69" s="483">
        <f t="shared" si="2"/>
        <v>0</v>
      </c>
      <c r="AA69" s="415"/>
      <c r="AB69" s="415"/>
      <c r="AC69" s="415"/>
      <c r="AD69" s="415"/>
      <c r="AE69" s="415"/>
    </row>
    <row r="70" spans="1:31" s="244" customFormat="1" ht="24" thickBot="1">
      <c r="A70" s="420" t="s">
        <v>288</v>
      </c>
      <c r="B70" s="268"/>
      <c r="C70" s="257">
        <f>SUM(C68:C69)</f>
        <v>167589</v>
      </c>
      <c r="D70" s="472"/>
      <c r="E70" s="257">
        <f>E68+E69</f>
        <v>0</v>
      </c>
      <c r="F70" s="472"/>
      <c r="G70" s="257">
        <f>G68+G69</f>
        <v>48000</v>
      </c>
      <c r="H70" s="472"/>
      <c r="I70" s="257">
        <f>I68+I69</f>
        <v>0</v>
      </c>
      <c r="J70" s="472"/>
      <c r="K70" s="257">
        <f>K68+K69</f>
        <v>0</v>
      </c>
      <c r="L70" s="472"/>
      <c r="M70" s="257">
        <f>M68+M69</f>
        <v>-20000</v>
      </c>
      <c r="N70" s="472"/>
      <c r="O70" s="257">
        <f>O68+O69</f>
        <v>-41900</v>
      </c>
      <c r="P70" s="472"/>
      <c r="Q70" s="257">
        <f>Q68+Q69</f>
        <v>0</v>
      </c>
      <c r="R70" s="473"/>
      <c r="S70" s="257">
        <f>S68+S69</f>
        <v>0</v>
      </c>
      <c r="T70" s="257">
        <f>T68+T69</f>
        <v>0</v>
      </c>
      <c r="U70" s="257">
        <f>U68+U69</f>
        <v>0</v>
      </c>
      <c r="V70" s="257"/>
      <c r="W70" s="257">
        <f>W68+W69</f>
        <v>0</v>
      </c>
      <c r="X70" s="472"/>
      <c r="Y70" s="257">
        <f>Y68+Y69</f>
        <v>0</v>
      </c>
      <c r="Z70" s="257">
        <f t="shared" si="2"/>
        <v>153689</v>
      </c>
      <c r="AA70" s="415"/>
      <c r="AB70" s="415"/>
      <c r="AC70" s="415"/>
      <c r="AD70" s="415"/>
      <c r="AE70" s="415"/>
    </row>
    <row r="71" spans="1:26" ht="24" thickTop="1">
      <c r="A71" s="474" t="s">
        <v>43</v>
      </c>
      <c r="B71" s="247" t="s">
        <v>290</v>
      </c>
      <c r="C71" s="75">
        <v>10000</v>
      </c>
      <c r="D71" s="250"/>
      <c r="E71" s="246"/>
      <c r="F71" s="250"/>
      <c r="G71" s="246"/>
      <c r="H71" s="250"/>
      <c r="I71" s="246"/>
      <c r="J71" s="250"/>
      <c r="K71" s="246"/>
      <c r="L71" s="250" t="s">
        <v>305</v>
      </c>
      <c r="M71" s="246">
        <v>-48800</v>
      </c>
      <c r="N71" s="250"/>
      <c r="O71" s="246"/>
      <c r="P71" s="250"/>
      <c r="Q71" s="246"/>
      <c r="R71" s="249"/>
      <c r="S71" s="246"/>
      <c r="T71" s="250"/>
      <c r="U71" s="246"/>
      <c r="V71" s="246"/>
      <c r="W71" s="246"/>
      <c r="X71" s="250"/>
      <c r="Y71" s="246"/>
      <c r="Z71" s="334">
        <f t="shared" si="2"/>
        <v>-38800</v>
      </c>
    </row>
    <row r="72" spans="1:26" ht="23.25">
      <c r="A72" s="464"/>
      <c r="B72" s="247" t="s">
        <v>284</v>
      </c>
      <c r="C72" s="75">
        <v>-7089</v>
      </c>
      <c r="D72" s="252"/>
      <c r="E72" s="75"/>
      <c r="F72" s="252"/>
      <c r="G72" s="75"/>
      <c r="H72" s="252"/>
      <c r="I72" s="75"/>
      <c r="J72" s="252"/>
      <c r="K72" s="75"/>
      <c r="L72" s="252"/>
      <c r="M72" s="75"/>
      <c r="N72" s="252"/>
      <c r="O72" s="75"/>
      <c r="P72" s="252"/>
      <c r="Q72" s="75"/>
      <c r="R72" s="251"/>
      <c r="S72" s="75"/>
      <c r="T72" s="252"/>
      <c r="U72" s="75"/>
      <c r="V72" s="75"/>
      <c r="W72" s="75"/>
      <c r="X72" s="252"/>
      <c r="Y72" s="75"/>
      <c r="Z72" s="266">
        <f t="shared" si="2"/>
        <v>-7089</v>
      </c>
    </row>
    <row r="73" spans="1:26" ht="23.25">
      <c r="A73" s="464"/>
      <c r="B73" s="247"/>
      <c r="D73" s="252"/>
      <c r="E73" s="75"/>
      <c r="F73" s="252"/>
      <c r="G73" s="75"/>
      <c r="H73" s="252"/>
      <c r="I73" s="75"/>
      <c r="J73" s="252"/>
      <c r="K73" s="75"/>
      <c r="L73" s="252"/>
      <c r="M73" s="75"/>
      <c r="N73" s="252"/>
      <c r="O73" s="75"/>
      <c r="P73" s="252"/>
      <c r="Q73" s="75"/>
      <c r="R73" s="251"/>
      <c r="S73" s="75"/>
      <c r="T73" s="252"/>
      <c r="U73" s="75"/>
      <c r="V73" s="75"/>
      <c r="W73" s="75"/>
      <c r="X73" s="252"/>
      <c r="Y73" s="75"/>
      <c r="Z73" s="266">
        <f t="shared" si="2"/>
        <v>0</v>
      </c>
    </row>
    <row r="74" spans="1:26" ht="23.25">
      <c r="A74" s="464"/>
      <c r="B74" s="247"/>
      <c r="C74" s="75"/>
      <c r="D74" s="252"/>
      <c r="E74" s="75"/>
      <c r="F74" s="252"/>
      <c r="G74" s="75"/>
      <c r="H74" s="252"/>
      <c r="I74" s="75"/>
      <c r="J74" s="252"/>
      <c r="K74" s="75"/>
      <c r="L74" s="252"/>
      <c r="M74" s="75"/>
      <c r="N74" s="252"/>
      <c r="O74" s="75"/>
      <c r="P74" s="252"/>
      <c r="Q74" s="75"/>
      <c r="R74" s="251"/>
      <c r="S74" s="75"/>
      <c r="T74" s="252"/>
      <c r="U74" s="75"/>
      <c r="V74" s="75"/>
      <c r="W74" s="75"/>
      <c r="X74" s="252"/>
      <c r="Y74" s="75"/>
      <c r="Z74" s="266">
        <f t="shared" si="2"/>
        <v>0</v>
      </c>
    </row>
    <row r="75" spans="1:26" ht="23.25">
      <c r="A75" s="464"/>
      <c r="B75" s="247"/>
      <c r="C75" s="75"/>
      <c r="D75" s="252"/>
      <c r="E75" s="75"/>
      <c r="F75" s="252"/>
      <c r="G75" s="75"/>
      <c r="H75" s="252"/>
      <c r="I75" s="75"/>
      <c r="J75" s="252"/>
      <c r="K75" s="75"/>
      <c r="L75" s="252"/>
      <c r="M75" s="75"/>
      <c r="N75" s="252"/>
      <c r="O75" s="75"/>
      <c r="P75" s="252"/>
      <c r="Q75" s="75"/>
      <c r="R75" s="251"/>
      <c r="S75" s="75"/>
      <c r="T75" s="252"/>
      <c r="U75" s="75"/>
      <c r="V75" s="75"/>
      <c r="W75" s="75"/>
      <c r="X75" s="252"/>
      <c r="Y75" s="75"/>
      <c r="Z75" s="266">
        <f t="shared" si="2"/>
        <v>0</v>
      </c>
    </row>
    <row r="76" spans="1:26" s="415" customFormat="1" ht="23.25">
      <c r="A76" s="465" t="s">
        <v>287</v>
      </c>
      <c r="B76" s="265"/>
      <c r="C76" s="266">
        <f>SUM(C71:C75)</f>
        <v>2911</v>
      </c>
      <c r="D76" s="466"/>
      <c r="E76" s="266">
        <f>SUM(E71:E75)</f>
        <v>0</v>
      </c>
      <c r="F76" s="266"/>
      <c r="G76" s="266">
        <f>SUM(G71:G75)</f>
        <v>0</v>
      </c>
      <c r="H76" s="266"/>
      <c r="I76" s="266">
        <f>SUM(I71:I75)</f>
        <v>0</v>
      </c>
      <c r="J76" s="466"/>
      <c r="K76" s="266">
        <f>SUM(K71:K75)</f>
        <v>0</v>
      </c>
      <c r="L76" s="466"/>
      <c r="M76" s="266">
        <f>SUM(M71:M75)</f>
        <v>-48800</v>
      </c>
      <c r="N76" s="266"/>
      <c r="O76" s="266">
        <f>SUM(O71:O75)</f>
        <v>0</v>
      </c>
      <c r="P76" s="466"/>
      <c r="Q76" s="266">
        <f>SUM(Q71:Q75)</f>
        <v>0</v>
      </c>
      <c r="R76" s="266"/>
      <c r="S76" s="266">
        <f>SUM(S71:S75)</f>
        <v>0</v>
      </c>
      <c r="T76" s="266">
        <f>SUM(T71:T75)</f>
        <v>0</v>
      </c>
      <c r="U76" s="266">
        <f>SUM(U71:U75)</f>
        <v>0</v>
      </c>
      <c r="V76" s="266"/>
      <c r="W76" s="266">
        <f>SUM(W71:W75)</f>
        <v>0</v>
      </c>
      <c r="X76" s="266"/>
      <c r="Y76" s="266">
        <f>SUM(Y71:Y75)</f>
        <v>0</v>
      </c>
      <c r="Z76" s="266">
        <f t="shared" si="2"/>
        <v>-45889</v>
      </c>
    </row>
    <row r="77" spans="1:31" s="244" customFormat="1" ht="23.25">
      <c r="A77" s="496"/>
      <c r="B77" s="273"/>
      <c r="C77" s="262"/>
      <c r="D77" s="481"/>
      <c r="E77" s="483"/>
      <c r="F77" s="494"/>
      <c r="G77" s="483"/>
      <c r="H77" s="494"/>
      <c r="I77" s="483"/>
      <c r="J77" s="494"/>
      <c r="K77" s="483"/>
      <c r="L77" s="494"/>
      <c r="M77" s="483">
        <v>0</v>
      </c>
      <c r="N77" s="494"/>
      <c r="O77" s="483"/>
      <c r="P77" s="494"/>
      <c r="Q77" s="483"/>
      <c r="R77" s="497"/>
      <c r="S77" s="483"/>
      <c r="T77" s="494"/>
      <c r="U77" s="483"/>
      <c r="V77" s="483"/>
      <c r="W77" s="483"/>
      <c r="X77" s="494"/>
      <c r="Y77" s="483"/>
      <c r="Z77" s="483">
        <f t="shared" si="2"/>
        <v>0</v>
      </c>
      <c r="AA77" s="415"/>
      <c r="AB77" s="415"/>
      <c r="AC77" s="415"/>
      <c r="AD77" s="415"/>
      <c r="AE77" s="415"/>
    </row>
    <row r="78" spans="1:31" s="244" customFormat="1" ht="24" thickBot="1">
      <c r="A78" s="420" t="s">
        <v>288</v>
      </c>
      <c r="B78" s="268"/>
      <c r="C78" s="257">
        <f>SUM(C76:C77)</f>
        <v>2911</v>
      </c>
      <c r="D78" s="472"/>
      <c r="E78" s="257">
        <f>E76+E77</f>
        <v>0</v>
      </c>
      <c r="F78" s="472"/>
      <c r="G78" s="257">
        <f>G76+G77</f>
        <v>0</v>
      </c>
      <c r="H78" s="472"/>
      <c r="I78" s="257">
        <f>I76+I77</f>
        <v>0</v>
      </c>
      <c r="J78" s="472"/>
      <c r="K78" s="257">
        <f>K76+K77</f>
        <v>0</v>
      </c>
      <c r="L78" s="472"/>
      <c r="M78" s="257">
        <f>M76+M77</f>
        <v>-48800</v>
      </c>
      <c r="N78" s="472"/>
      <c r="O78" s="257">
        <f>O76+O77</f>
        <v>0</v>
      </c>
      <c r="P78" s="472"/>
      <c r="Q78" s="257">
        <f>Q76+Q77</f>
        <v>0</v>
      </c>
      <c r="R78" s="473"/>
      <c r="S78" s="257">
        <f>S76+S77</f>
        <v>0</v>
      </c>
      <c r="T78" s="257">
        <f>T76+T77</f>
        <v>0</v>
      </c>
      <c r="U78" s="257">
        <f>U76+U77</f>
        <v>0</v>
      </c>
      <c r="V78" s="257"/>
      <c r="W78" s="257">
        <f>W76+W77</f>
        <v>0</v>
      </c>
      <c r="X78" s="472"/>
      <c r="Y78" s="257">
        <f>Y76+Y77</f>
        <v>0</v>
      </c>
      <c r="Z78" s="257">
        <f t="shared" si="2"/>
        <v>-45889</v>
      </c>
      <c r="AA78" s="415"/>
      <c r="AB78" s="415"/>
      <c r="AC78" s="415"/>
      <c r="AD78" s="415"/>
      <c r="AE78" s="415"/>
    </row>
    <row r="79" spans="1:26" ht="24" thickTop="1">
      <c r="A79" s="474" t="s">
        <v>14</v>
      </c>
      <c r="B79" s="245"/>
      <c r="C79" s="246"/>
      <c r="D79" s="250"/>
      <c r="E79" s="246"/>
      <c r="F79" s="250"/>
      <c r="G79" s="246"/>
      <c r="H79" s="250"/>
      <c r="I79" s="246"/>
      <c r="J79" s="250"/>
      <c r="K79" s="246"/>
      <c r="L79" s="250"/>
      <c r="M79" s="246"/>
      <c r="N79" s="250"/>
      <c r="O79" s="246"/>
      <c r="P79" s="250"/>
      <c r="Q79" s="246"/>
      <c r="R79" s="249"/>
      <c r="S79" s="246"/>
      <c r="T79" s="250"/>
      <c r="U79" s="246"/>
      <c r="V79" s="246"/>
      <c r="W79" s="246"/>
      <c r="X79" s="250"/>
      <c r="Y79" s="246"/>
      <c r="Z79" s="334">
        <f t="shared" si="2"/>
        <v>0</v>
      </c>
    </row>
    <row r="80" spans="1:26" ht="23.25">
      <c r="A80" s="475"/>
      <c r="B80" s="269"/>
      <c r="C80" s="270"/>
      <c r="D80" s="476"/>
      <c r="E80" s="270"/>
      <c r="F80" s="476"/>
      <c r="G80" s="270"/>
      <c r="H80" s="476"/>
      <c r="I80" s="270"/>
      <c r="J80" s="476"/>
      <c r="K80" s="270"/>
      <c r="L80" s="476"/>
      <c r="M80" s="270"/>
      <c r="N80" s="476"/>
      <c r="O80" s="270"/>
      <c r="P80" s="476"/>
      <c r="Q80" s="270"/>
      <c r="R80" s="477"/>
      <c r="S80" s="270"/>
      <c r="T80" s="476"/>
      <c r="U80" s="270"/>
      <c r="V80" s="270"/>
      <c r="W80" s="270"/>
      <c r="X80" s="476"/>
      <c r="Y80" s="270"/>
      <c r="Z80" s="266">
        <f t="shared" si="2"/>
        <v>0</v>
      </c>
    </row>
    <row r="81" spans="1:26" ht="23.25">
      <c r="A81" s="475"/>
      <c r="B81" s="269"/>
      <c r="C81" s="270"/>
      <c r="D81" s="476"/>
      <c r="E81" s="270"/>
      <c r="F81" s="476"/>
      <c r="G81" s="270"/>
      <c r="H81" s="476"/>
      <c r="I81" s="270"/>
      <c r="J81" s="476"/>
      <c r="K81" s="270"/>
      <c r="L81" s="476"/>
      <c r="M81" s="270"/>
      <c r="N81" s="476"/>
      <c r="O81" s="270"/>
      <c r="P81" s="476"/>
      <c r="Q81" s="270"/>
      <c r="R81" s="477"/>
      <c r="S81" s="270"/>
      <c r="T81" s="476"/>
      <c r="U81" s="270"/>
      <c r="V81" s="270"/>
      <c r="W81" s="270"/>
      <c r="X81" s="476"/>
      <c r="Y81" s="270"/>
      <c r="Z81" s="400"/>
    </row>
    <row r="82" spans="1:26" ht="23.25">
      <c r="A82" s="475"/>
      <c r="B82" s="269"/>
      <c r="C82" s="270"/>
      <c r="D82" s="476"/>
      <c r="E82" s="270"/>
      <c r="F82" s="476"/>
      <c r="G82" s="270"/>
      <c r="H82" s="476"/>
      <c r="I82" s="270"/>
      <c r="J82" s="476"/>
      <c r="K82" s="270"/>
      <c r="L82" s="476"/>
      <c r="M82" s="270"/>
      <c r="N82" s="476"/>
      <c r="O82" s="270"/>
      <c r="P82" s="476"/>
      <c r="Q82" s="270"/>
      <c r="R82" s="477"/>
      <c r="S82" s="270"/>
      <c r="T82" s="476"/>
      <c r="U82" s="270"/>
      <c r="V82" s="270"/>
      <c r="W82" s="270"/>
      <c r="X82" s="476"/>
      <c r="Y82" s="270"/>
      <c r="Z82" s="400"/>
    </row>
    <row r="83" spans="1:26" ht="23.25">
      <c r="A83" s="475"/>
      <c r="B83" s="269"/>
      <c r="C83" s="270"/>
      <c r="D83" s="476"/>
      <c r="E83" s="270"/>
      <c r="F83" s="476"/>
      <c r="G83" s="270"/>
      <c r="H83" s="476"/>
      <c r="I83" s="270"/>
      <c r="J83" s="476"/>
      <c r="K83" s="270"/>
      <c r="L83" s="476"/>
      <c r="M83" s="270"/>
      <c r="N83" s="476"/>
      <c r="O83" s="270"/>
      <c r="P83" s="476"/>
      <c r="Q83" s="270"/>
      <c r="R83" s="477"/>
      <c r="S83" s="270"/>
      <c r="T83" s="476"/>
      <c r="U83" s="270"/>
      <c r="V83" s="270"/>
      <c r="W83" s="270"/>
      <c r="X83" s="476"/>
      <c r="Y83" s="270"/>
      <c r="Z83" s="400"/>
    </row>
    <row r="84" spans="1:31" s="244" customFormat="1" ht="23.25">
      <c r="A84" s="465" t="s">
        <v>287</v>
      </c>
      <c r="B84" s="265"/>
      <c r="C84" s="266">
        <f>SUM(C79:C83)</f>
        <v>0</v>
      </c>
      <c r="D84" s="266"/>
      <c r="E84" s="266">
        <f>SUM(E79:E83)</f>
        <v>0</v>
      </c>
      <c r="F84" s="266"/>
      <c r="G84" s="266">
        <f>SUM(G79:G83)</f>
        <v>0</v>
      </c>
      <c r="H84" s="266"/>
      <c r="I84" s="266">
        <f>SUM(I79:I83)</f>
        <v>0</v>
      </c>
      <c r="J84" s="266"/>
      <c r="K84" s="266">
        <f>SUM(K79:K83)</f>
        <v>0</v>
      </c>
      <c r="L84" s="266"/>
      <c r="M84" s="266">
        <f>SUM(M79:M83)</f>
        <v>0</v>
      </c>
      <c r="N84" s="266"/>
      <c r="O84" s="266">
        <f>SUM(O79:O83)</f>
        <v>0</v>
      </c>
      <c r="P84" s="266"/>
      <c r="Q84" s="266">
        <f>SUM(Q79:Q83)</f>
        <v>0</v>
      </c>
      <c r="R84" s="266"/>
      <c r="S84" s="266">
        <f>SUM(S79:S83)</f>
        <v>0</v>
      </c>
      <c r="T84" s="266">
        <f>SUM(T79:T83)</f>
        <v>0</v>
      </c>
      <c r="U84" s="266">
        <f>SUM(U79:U83)</f>
        <v>0</v>
      </c>
      <c r="V84" s="266"/>
      <c r="W84" s="266">
        <f>SUM(W79:W83)</f>
        <v>0</v>
      </c>
      <c r="X84" s="266"/>
      <c r="Y84" s="266">
        <f>SUM(Y79:Y83)</f>
        <v>0</v>
      </c>
      <c r="Z84" s="266">
        <f>C84+E84+G84+I84+K84+M84+O84+U84+Q84+S84+Y84</f>
        <v>0</v>
      </c>
      <c r="AA84" s="415"/>
      <c r="AB84" s="415"/>
      <c r="AC84" s="415"/>
      <c r="AD84" s="415"/>
      <c r="AE84" s="415"/>
    </row>
    <row r="85" spans="1:31" s="244" customFormat="1" ht="23.25">
      <c r="A85" s="496"/>
      <c r="B85" s="273"/>
      <c r="C85" s="262"/>
      <c r="D85" s="481"/>
      <c r="E85" s="483"/>
      <c r="F85" s="494"/>
      <c r="G85" s="483"/>
      <c r="H85" s="494"/>
      <c r="I85" s="483"/>
      <c r="J85" s="494"/>
      <c r="K85" s="483"/>
      <c r="L85" s="494"/>
      <c r="M85" s="483"/>
      <c r="N85" s="494"/>
      <c r="O85" s="483"/>
      <c r="P85" s="494"/>
      <c r="Q85" s="483"/>
      <c r="R85" s="497"/>
      <c r="S85" s="483"/>
      <c r="T85" s="494"/>
      <c r="U85" s="483"/>
      <c r="V85" s="483"/>
      <c r="W85" s="483"/>
      <c r="X85" s="494"/>
      <c r="Y85" s="483"/>
      <c r="Z85" s="483">
        <f>C85+E85+G85+I85+K85+M85+O85+U85+Q85+S85+Y85</f>
        <v>0</v>
      </c>
      <c r="AA85" s="415"/>
      <c r="AB85" s="415"/>
      <c r="AC85" s="415"/>
      <c r="AD85" s="415"/>
      <c r="AE85" s="415"/>
    </row>
    <row r="86" spans="1:31" s="244" customFormat="1" ht="24" thickBot="1">
      <c r="A86" s="420" t="s">
        <v>288</v>
      </c>
      <c r="B86" s="268"/>
      <c r="C86" s="257">
        <f>SUM(C84:C85)</f>
        <v>0</v>
      </c>
      <c r="D86" s="472"/>
      <c r="E86" s="257">
        <f>E84+E85</f>
        <v>0</v>
      </c>
      <c r="F86" s="472"/>
      <c r="G86" s="257">
        <f>G84+G85</f>
        <v>0</v>
      </c>
      <c r="H86" s="472"/>
      <c r="I86" s="257">
        <f>I84+I85</f>
        <v>0</v>
      </c>
      <c r="J86" s="472"/>
      <c r="K86" s="257">
        <f>K84+K85</f>
        <v>0</v>
      </c>
      <c r="L86" s="472"/>
      <c r="M86" s="257">
        <f>M84+M85</f>
        <v>0</v>
      </c>
      <c r="N86" s="472"/>
      <c r="O86" s="257">
        <f>O84+O85</f>
        <v>0</v>
      </c>
      <c r="P86" s="472"/>
      <c r="Q86" s="257">
        <f>Q84+Q85</f>
        <v>0</v>
      </c>
      <c r="R86" s="473"/>
      <c r="S86" s="257">
        <f>S84+S85</f>
        <v>0</v>
      </c>
      <c r="T86" s="257">
        <f>T84+T85</f>
        <v>0</v>
      </c>
      <c r="U86" s="257">
        <f>U84+U85</f>
        <v>0</v>
      </c>
      <c r="V86" s="257"/>
      <c r="W86" s="257">
        <f>W84+W85</f>
        <v>0</v>
      </c>
      <c r="X86" s="472"/>
      <c r="Y86" s="257">
        <f>Y84+Y85</f>
        <v>0</v>
      </c>
      <c r="Z86" s="257">
        <f>C86+E86+G86+I86+K86+M86+O86+U86+Q86+S86+Y86</f>
        <v>0</v>
      </c>
      <c r="AA86" s="415"/>
      <c r="AB86" s="415"/>
      <c r="AC86" s="415"/>
      <c r="AD86" s="415"/>
      <c r="AE86" s="415"/>
    </row>
    <row r="87" spans="1:26" ht="24" thickTop="1">
      <c r="A87" s="474" t="s">
        <v>302</v>
      </c>
      <c r="B87" s="245"/>
      <c r="C87" s="246"/>
      <c r="D87" s="250"/>
      <c r="E87" s="246"/>
      <c r="F87" s="250"/>
      <c r="G87" s="246"/>
      <c r="H87" s="250"/>
      <c r="I87" s="246"/>
      <c r="J87" s="250"/>
      <c r="K87" s="246"/>
      <c r="L87" s="250"/>
      <c r="M87" s="246"/>
      <c r="N87" s="250"/>
      <c r="O87" s="246"/>
      <c r="P87" s="250"/>
      <c r="Q87" s="246"/>
      <c r="R87" s="249"/>
      <c r="S87" s="246"/>
      <c r="T87" s="250"/>
      <c r="U87" s="246"/>
      <c r="V87" s="246"/>
      <c r="W87" s="246"/>
      <c r="X87" s="250"/>
      <c r="Y87" s="246"/>
      <c r="Z87" s="334">
        <f>C87+E87+G87+I87+K87+M87+O87+U87+Q87+S87+Y87</f>
        <v>0</v>
      </c>
    </row>
    <row r="88" spans="1:26" ht="23.25">
      <c r="A88" s="475"/>
      <c r="B88" s="269"/>
      <c r="C88" s="270"/>
      <c r="D88" s="476"/>
      <c r="E88" s="270"/>
      <c r="F88" s="476"/>
      <c r="G88" s="270"/>
      <c r="H88" s="476"/>
      <c r="I88" s="270"/>
      <c r="J88" s="476"/>
      <c r="K88" s="270"/>
      <c r="L88" s="476"/>
      <c r="M88" s="270"/>
      <c r="N88" s="476"/>
      <c r="O88" s="270"/>
      <c r="P88" s="476"/>
      <c r="Q88" s="270"/>
      <c r="R88" s="477"/>
      <c r="S88" s="270"/>
      <c r="T88" s="476"/>
      <c r="U88" s="270"/>
      <c r="V88" s="270"/>
      <c r="W88" s="270"/>
      <c r="X88" s="476"/>
      <c r="Y88" s="270"/>
      <c r="Z88" s="266">
        <f>C88+E88+G88+I88+K88+M88+O88+U88+Q88+S88+Y88</f>
        <v>0</v>
      </c>
    </row>
    <row r="89" spans="1:26" ht="23.25">
      <c r="A89" s="475"/>
      <c r="B89" s="269"/>
      <c r="C89" s="270"/>
      <c r="D89" s="476"/>
      <c r="E89" s="270"/>
      <c r="F89" s="476"/>
      <c r="G89" s="270"/>
      <c r="H89" s="476"/>
      <c r="I89" s="270"/>
      <c r="J89" s="476"/>
      <c r="K89" s="270"/>
      <c r="L89" s="476"/>
      <c r="M89" s="270"/>
      <c r="N89" s="476"/>
      <c r="O89" s="270"/>
      <c r="P89" s="476"/>
      <c r="Q89" s="270"/>
      <c r="R89" s="477"/>
      <c r="S89" s="270"/>
      <c r="T89" s="476"/>
      <c r="U89" s="270"/>
      <c r="V89" s="270"/>
      <c r="W89" s="270"/>
      <c r="X89" s="476"/>
      <c r="Y89" s="270"/>
      <c r="Z89" s="266"/>
    </row>
    <row r="90" spans="1:26" ht="23.25">
      <c r="A90" s="464"/>
      <c r="B90" s="247"/>
      <c r="C90" s="75"/>
      <c r="D90" s="252"/>
      <c r="E90" s="75"/>
      <c r="F90" s="252"/>
      <c r="G90" s="75"/>
      <c r="H90" s="252"/>
      <c r="I90" s="75"/>
      <c r="J90" s="252"/>
      <c r="K90" s="75"/>
      <c r="L90" s="252"/>
      <c r="M90" s="75"/>
      <c r="N90" s="252"/>
      <c r="O90" s="75"/>
      <c r="P90" s="252"/>
      <c r="Q90" s="75"/>
      <c r="R90" s="251"/>
      <c r="S90" s="75"/>
      <c r="T90" s="252"/>
      <c r="U90" s="75"/>
      <c r="V90" s="75"/>
      <c r="W90" s="75"/>
      <c r="X90" s="252"/>
      <c r="Y90" s="75"/>
      <c r="Z90" s="266"/>
    </row>
    <row r="91" spans="1:31" s="244" customFormat="1" ht="23.25">
      <c r="A91" s="465" t="s">
        <v>287</v>
      </c>
      <c r="B91" s="265"/>
      <c r="C91" s="266">
        <f>SUM(C87:C90)</f>
        <v>0</v>
      </c>
      <c r="D91" s="466"/>
      <c r="E91" s="266">
        <f>SUM(E87:E90)</f>
        <v>0</v>
      </c>
      <c r="F91" s="266"/>
      <c r="G91" s="266">
        <f>SUM(G87:G90)</f>
        <v>0</v>
      </c>
      <c r="H91" s="266"/>
      <c r="I91" s="266">
        <f>SUM(I87:I90)</f>
        <v>0</v>
      </c>
      <c r="J91" s="466"/>
      <c r="K91" s="266">
        <f>SUM(K87:K90)</f>
        <v>0</v>
      </c>
      <c r="L91" s="466"/>
      <c r="M91" s="266">
        <f>SUM(M87:M90)</f>
        <v>0</v>
      </c>
      <c r="N91" s="266"/>
      <c r="O91" s="266"/>
      <c r="P91" s="466"/>
      <c r="Q91" s="266">
        <f>SUM(Q87:Q90)</f>
        <v>0</v>
      </c>
      <c r="R91" s="266"/>
      <c r="S91" s="266">
        <f>SUM(S87:S90)</f>
        <v>0</v>
      </c>
      <c r="T91" s="266">
        <f>SUM(T87:T90)</f>
        <v>0</v>
      </c>
      <c r="U91" s="266">
        <f>SUM(U87:U90)</f>
        <v>0</v>
      </c>
      <c r="V91" s="266"/>
      <c r="W91" s="266">
        <f>SUM(W87:W90)</f>
        <v>0</v>
      </c>
      <c r="X91" s="266"/>
      <c r="Y91" s="266">
        <f>SUM(Y87:Y90)</f>
        <v>0</v>
      </c>
      <c r="Z91" s="266">
        <f aca="true" t="shared" si="3" ref="Z91:Z98">C91+E91+G91+I91+K91+M91+O91+U91+Q91+S91+Y91</f>
        <v>0</v>
      </c>
      <c r="AA91" s="415"/>
      <c r="AB91" s="415"/>
      <c r="AC91" s="415"/>
      <c r="AD91" s="415"/>
      <c r="AE91" s="415"/>
    </row>
    <row r="92" spans="1:31" s="244" customFormat="1" ht="23.25">
      <c r="A92" s="496"/>
      <c r="B92" s="273"/>
      <c r="C92" s="262">
        <v>0</v>
      </c>
      <c r="D92" s="481"/>
      <c r="E92" s="483"/>
      <c r="F92" s="494"/>
      <c r="G92" s="483"/>
      <c r="H92" s="494"/>
      <c r="I92" s="483"/>
      <c r="J92" s="494"/>
      <c r="K92" s="483"/>
      <c r="L92" s="494"/>
      <c r="M92" s="483"/>
      <c r="N92" s="494"/>
      <c r="O92" s="262"/>
      <c r="P92" s="494"/>
      <c r="Q92" s="483"/>
      <c r="R92" s="497"/>
      <c r="S92" s="483"/>
      <c r="T92" s="481"/>
      <c r="U92" s="483"/>
      <c r="V92" s="483"/>
      <c r="W92" s="483"/>
      <c r="X92" s="494"/>
      <c r="Y92" s="483"/>
      <c r="Z92" s="483">
        <f t="shared" si="3"/>
        <v>0</v>
      </c>
      <c r="AA92" s="415"/>
      <c r="AB92" s="415"/>
      <c r="AC92" s="415"/>
      <c r="AD92" s="415"/>
      <c r="AE92" s="415"/>
    </row>
    <row r="93" spans="1:31" s="244" customFormat="1" ht="24" thickBot="1">
      <c r="A93" s="420" t="s">
        <v>288</v>
      </c>
      <c r="B93" s="268"/>
      <c r="C93" s="257">
        <f>SUM(C91:C92)</f>
        <v>0</v>
      </c>
      <c r="D93" s="472"/>
      <c r="E93" s="257">
        <f>E91+E92</f>
        <v>0</v>
      </c>
      <c r="F93" s="472"/>
      <c r="G93" s="257">
        <f>G91+G92</f>
        <v>0</v>
      </c>
      <c r="H93" s="472"/>
      <c r="I93" s="257">
        <f>I91+I92</f>
        <v>0</v>
      </c>
      <c r="J93" s="472"/>
      <c r="K93" s="257">
        <f>K91+K92</f>
        <v>0</v>
      </c>
      <c r="L93" s="472"/>
      <c r="M93" s="257">
        <f>M91+M92</f>
        <v>0</v>
      </c>
      <c r="N93" s="472"/>
      <c r="O93" s="257">
        <f>O91+O92</f>
        <v>0</v>
      </c>
      <c r="P93" s="472"/>
      <c r="Q93" s="257">
        <f>Q91+Q92</f>
        <v>0</v>
      </c>
      <c r="R93" s="473"/>
      <c r="S93" s="257">
        <f>S91+S92</f>
        <v>0</v>
      </c>
      <c r="T93" s="257">
        <f>T91+T92</f>
        <v>0</v>
      </c>
      <c r="U93" s="257">
        <f>U91+U92</f>
        <v>0</v>
      </c>
      <c r="V93" s="257"/>
      <c r="W93" s="257">
        <f>W91+W92</f>
        <v>0</v>
      </c>
      <c r="X93" s="472"/>
      <c r="Y93" s="257">
        <f>Y91+Y92</f>
        <v>0</v>
      </c>
      <c r="Z93" s="257">
        <f t="shared" si="3"/>
        <v>0</v>
      </c>
      <c r="AA93" s="415"/>
      <c r="AB93" s="415"/>
      <c r="AC93" s="415"/>
      <c r="AD93" s="415"/>
      <c r="AE93" s="415"/>
    </row>
    <row r="94" spans="1:26" ht="24" thickTop="1">
      <c r="A94" s="474" t="s">
        <v>16</v>
      </c>
      <c r="B94" s="269" t="s">
        <v>298</v>
      </c>
      <c r="C94" s="274">
        <v>-95000</v>
      </c>
      <c r="D94" s="250"/>
      <c r="E94" s="246"/>
      <c r="F94" s="476"/>
      <c r="G94" s="270"/>
      <c r="H94" s="250" t="s">
        <v>290</v>
      </c>
      <c r="I94" s="246">
        <v>35000</v>
      </c>
      <c r="J94" s="250"/>
      <c r="K94" s="246"/>
      <c r="L94" s="250"/>
      <c r="M94" s="246"/>
      <c r="N94" s="250"/>
      <c r="O94" s="246"/>
      <c r="P94" s="250"/>
      <c r="Q94" s="246"/>
      <c r="R94" s="249" t="s">
        <v>295</v>
      </c>
      <c r="S94" s="246">
        <v>-169500</v>
      </c>
      <c r="T94" s="250"/>
      <c r="U94" s="246"/>
      <c r="V94" s="246"/>
      <c r="W94" s="246"/>
      <c r="X94" s="250"/>
      <c r="Y94" s="246"/>
      <c r="Z94" s="334">
        <f t="shared" si="3"/>
        <v>-229500</v>
      </c>
    </row>
    <row r="95" spans="1:26" ht="23.25">
      <c r="A95" s="475"/>
      <c r="B95" s="247"/>
      <c r="C95" s="75"/>
      <c r="D95" s="476"/>
      <c r="E95" s="270"/>
      <c r="F95" s="252"/>
      <c r="G95" s="75"/>
      <c r="H95" s="476" t="s">
        <v>306</v>
      </c>
      <c r="I95" s="270">
        <v>-40000</v>
      </c>
      <c r="J95" s="476"/>
      <c r="K95" s="270"/>
      <c r="L95" s="476"/>
      <c r="M95" s="270"/>
      <c r="N95" s="476"/>
      <c r="O95" s="270"/>
      <c r="P95" s="476"/>
      <c r="Q95" s="270"/>
      <c r="R95" s="477" t="s">
        <v>291</v>
      </c>
      <c r="S95" s="270">
        <v>-80500</v>
      </c>
      <c r="T95" s="476"/>
      <c r="U95" s="270"/>
      <c r="V95" s="270"/>
      <c r="W95" s="270"/>
      <c r="X95" s="476"/>
      <c r="Y95" s="270"/>
      <c r="Z95" s="266">
        <f t="shared" si="3"/>
        <v>-120500</v>
      </c>
    </row>
    <row r="96" spans="1:26" ht="23.25">
      <c r="A96" s="475"/>
      <c r="B96" s="269"/>
      <c r="C96" s="274"/>
      <c r="D96" s="476"/>
      <c r="E96" s="270"/>
      <c r="F96" s="476"/>
      <c r="G96" s="270"/>
      <c r="H96" s="476"/>
      <c r="I96" s="270"/>
      <c r="J96" s="476"/>
      <c r="K96" s="270"/>
      <c r="L96" s="476"/>
      <c r="M96" s="270"/>
      <c r="N96" s="476"/>
      <c r="O96" s="270"/>
      <c r="P96" s="476"/>
      <c r="Q96" s="270"/>
      <c r="R96" s="477"/>
      <c r="S96" s="270"/>
      <c r="T96" s="476"/>
      <c r="U96" s="270"/>
      <c r="V96" s="270"/>
      <c r="W96" s="270"/>
      <c r="X96" s="476"/>
      <c r="Y96" s="270"/>
      <c r="Z96" s="266">
        <f t="shared" si="3"/>
        <v>0</v>
      </c>
    </row>
    <row r="97" spans="1:26" ht="23.25">
      <c r="A97" s="475"/>
      <c r="B97" s="269"/>
      <c r="C97" s="274"/>
      <c r="D97" s="476"/>
      <c r="E97" s="270"/>
      <c r="F97" s="476"/>
      <c r="G97" s="270"/>
      <c r="H97" s="476"/>
      <c r="I97" s="270"/>
      <c r="J97" s="476"/>
      <c r="K97" s="270"/>
      <c r="L97" s="476"/>
      <c r="M97" s="270"/>
      <c r="N97" s="476"/>
      <c r="O97" s="270"/>
      <c r="P97" s="476"/>
      <c r="Q97" s="270"/>
      <c r="R97" s="477"/>
      <c r="S97" s="270"/>
      <c r="T97" s="476"/>
      <c r="U97" s="270"/>
      <c r="V97" s="270"/>
      <c r="W97" s="270"/>
      <c r="X97" s="476"/>
      <c r="Y97" s="270"/>
      <c r="Z97" s="266">
        <f t="shared" si="3"/>
        <v>0</v>
      </c>
    </row>
    <row r="98" spans="1:26" ht="23.25">
      <c r="A98" s="475"/>
      <c r="B98" s="269"/>
      <c r="C98" s="274"/>
      <c r="D98" s="476"/>
      <c r="E98" s="270"/>
      <c r="F98" s="476"/>
      <c r="G98" s="270"/>
      <c r="H98" s="476"/>
      <c r="I98" s="270"/>
      <c r="J98" s="476"/>
      <c r="K98" s="270"/>
      <c r="L98" s="476"/>
      <c r="M98" s="270"/>
      <c r="N98" s="476"/>
      <c r="O98" s="270"/>
      <c r="P98" s="476"/>
      <c r="Q98" s="270"/>
      <c r="R98" s="477"/>
      <c r="S98" s="270"/>
      <c r="T98" s="476"/>
      <c r="U98" s="270"/>
      <c r="V98" s="270"/>
      <c r="W98" s="270"/>
      <c r="X98" s="476"/>
      <c r="Y98" s="270"/>
      <c r="Z98" s="266">
        <f t="shared" si="3"/>
        <v>0</v>
      </c>
    </row>
    <row r="99" spans="1:26" s="415" customFormat="1" ht="23.25">
      <c r="A99" s="465" t="s">
        <v>287</v>
      </c>
      <c r="B99" s="265"/>
      <c r="C99" s="266">
        <f>SUM(C94:C98)</f>
        <v>-95000</v>
      </c>
      <c r="D99" s="492" t="s">
        <v>3</v>
      </c>
      <c r="E99" s="266">
        <f>SUM(E94:E98)</f>
        <v>0</v>
      </c>
      <c r="F99" s="492" t="s">
        <v>3</v>
      </c>
      <c r="G99" s="266">
        <f>SUM(G94:G98)</f>
        <v>0</v>
      </c>
      <c r="H99" s="492" t="s">
        <v>3</v>
      </c>
      <c r="I99" s="266">
        <f>SUM(I94:I98)</f>
        <v>-5000</v>
      </c>
      <c r="J99" s="492" t="s">
        <v>3</v>
      </c>
      <c r="K99" s="266">
        <f>SUM(K94:K98)</f>
        <v>0</v>
      </c>
      <c r="L99" s="492" t="s">
        <v>3</v>
      </c>
      <c r="M99" s="266">
        <f>SUM(M94:M98)</f>
        <v>0</v>
      </c>
      <c r="N99" s="492" t="s">
        <v>3</v>
      </c>
      <c r="O99" s="266">
        <f>SUM(O94:O98)</f>
        <v>0</v>
      </c>
      <c r="P99" s="492" t="s">
        <v>3</v>
      </c>
      <c r="Q99" s="266">
        <f>SUM(Q94:Q98)</f>
        <v>0</v>
      </c>
      <c r="R99" s="493"/>
      <c r="S99" s="266">
        <f>SUM(S94:S98)</f>
        <v>-250000</v>
      </c>
      <c r="T99" s="266">
        <f>SUM(T94:T98)</f>
        <v>0</v>
      </c>
      <c r="U99" s="266">
        <f>SUM(U94:U98)</f>
        <v>0</v>
      </c>
      <c r="V99" s="266"/>
      <c r="W99" s="266">
        <f>SUM(W94:W98)</f>
        <v>0</v>
      </c>
      <c r="X99" s="492"/>
      <c r="Y99" s="266">
        <f>SUM(Y94:Y98)</f>
        <v>0</v>
      </c>
      <c r="Z99" s="266">
        <f>C99+E99+G99+I99+K99+M99+O99+U99+Q99+S99+Y99</f>
        <v>-350000</v>
      </c>
    </row>
    <row r="100" spans="1:31" s="244" customFormat="1" ht="23.25">
      <c r="A100" s="496"/>
      <c r="B100" s="273"/>
      <c r="C100" s="262">
        <v>0</v>
      </c>
      <c r="D100" s="481"/>
      <c r="E100" s="483"/>
      <c r="F100" s="494"/>
      <c r="G100" s="483"/>
      <c r="H100" s="494"/>
      <c r="I100" s="483"/>
      <c r="J100" s="494"/>
      <c r="K100" s="483"/>
      <c r="L100" s="494"/>
      <c r="M100" s="483"/>
      <c r="N100" s="494"/>
      <c r="O100" s="483"/>
      <c r="P100" s="494"/>
      <c r="Q100" s="483"/>
      <c r="R100" s="497"/>
      <c r="S100" s="483"/>
      <c r="T100" s="494"/>
      <c r="U100" s="483"/>
      <c r="V100" s="483"/>
      <c r="W100" s="483"/>
      <c r="X100" s="494"/>
      <c r="Y100" s="483"/>
      <c r="Z100" s="483">
        <f aca="true" t="shared" si="4" ref="Z100:Z106">C100+E100+G100+I100+K100+M100+O100+U100+Q100+S100+Y100</f>
        <v>0</v>
      </c>
      <c r="AA100" s="415"/>
      <c r="AB100" s="415"/>
      <c r="AC100" s="415"/>
      <c r="AD100" s="415"/>
      <c r="AE100" s="415"/>
    </row>
    <row r="101" spans="1:26" s="415" customFormat="1" ht="24" thickBot="1">
      <c r="A101" s="420" t="s">
        <v>288</v>
      </c>
      <c r="B101" s="268"/>
      <c r="C101" s="257">
        <f>SUM(C99:C100)</f>
        <v>-95000</v>
      </c>
      <c r="D101" s="472"/>
      <c r="E101" s="257">
        <f>E99+E100</f>
        <v>0</v>
      </c>
      <c r="F101" s="472"/>
      <c r="G101" s="257">
        <f>G99+G100</f>
        <v>0</v>
      </c>
      <c r="H101" s="472"/>
      <c r="I101" s="257">
        <f>I99+I100</f>
        <v>-5000</v>
      </c>
      <c r="J101" s="472"/>
      <c r="K101" s="257">
        <f>K99+K100</f>
        <v>0</v>
      </c>
      <c r="L101" s="472"/>
      <c r="M101" s="257">
        <f>M99+M100</f>
        <v>0</v>
      </c>
      <c r="N101" s="472"/>
      <c r="O101" s="257">
        <f>O99+O100</f>
        <v>0</v>
      </c>
      <c r="P101" s="472"/>
      <c r="Q101" s="257">
        <f>Q99+Q100</f>
        <v>0</v>
      </c>
      <c r="R101" s="473"/>
      <c r="S101" s="257">
        <f>S99+S100</f>
        <v>-250000</v>
      </c>
      <c r="T101" s="257">
        <f>T99+T100</f>
        <v>0</v>
      </c>
      <c r="U101" s="257">
        <f>U99+U100</f>
        <v>0</v>
      </c>
      <c r="V101" s="257"/>
      <c r="W101" s="257">
        <f>W99+W100</f>
        <v>0</v>
      </c>
      <c r="X101" s="472"/>
      <c r="Y101" s="257">
        <f>Y99+Y100</f>
        <v>0</v>
      </c>
      <c r="Z101" s="257">
        <f>C101+E101+G101+I101+K101+M101+O101+U101+Q101+S101+Y101</f>
        <v>-350000</v>
      </c>
    </row>
    <row r="102" spans="1:31" s="244" customFormat="1" ht="24.75" hidden="1" thickBot="1" thickTop="1">
      <c r="A102" s="474" t="s">
        <v>100</v>
      </c>
      <c r="B102" s="245"/>
      <c r="C102" s="246"/>
      <c r="D102" s="250"/>
      <c r="E102" s="246"/>
      <c r="F102" s="250"/>
      <c r="G102" s="246"/>
      <c r="H102" s="250"/>
      <c r="I102" s="246"/>
      <c r="J102" s="250"/>
      <c r="K102" s="246"/>
      <c r="L102" s="250"/>
      <c r="M102" s="246"/>
      <c r="N102" s="250"/>
      <c r="O102" s="246"/>
      <c r="P102" s="250"/>
      <c r="Q102" s="246"/>
      <c r="R102" s="249"/>
      <c r="S102" s="246"/>
      <c r="T102" s="250"/>
      <c r="U102" s="246"/>
      <c r="V102" s="246"/>
      <c r="W102" s="246"/>
      <c r="X102" s="250"/>
      <c r="Y102" s="246"/>
      <c r="Z102" s="334">
        <f t="shared" si="4"/>
        <v>0</v>
      </c>
      <c r="AA102" s="415"/>
      <c r="AB102" s="415"/>
      <c r="AC102" s="415"/>
      <c r="AD102" s="415"/>
      <c r="AE102" s="415"/>
    </row>
    <row r="103" spans="1:31" s="244" customFormat="1" ht="24.75" hidden="1" thickBot="1" thickTop="1">
      <c r="A103" s="464"/>
      <c r="B103" s="247"/>
      <c r="C103" s="75"/>
      <c r="D103" s="252"/>
      <c r="E103" s="75"/>
      <c r="F103" s="252"/>
      <c r="G103" s="75"/>
      <c r="H103" s="252"/>
      <c r="I103" s="75"/>
      <c r="J103" s="252"/>
      <c r="K103" s="75"/>
      <c r="L103" s="252"/>
      <c r="M103" s="75"/>
      <c r="N103" s="252"/>
      <c r="O103" s="75"/>
      <c r="P103" s="252"/>
      <c r="Q103" s="75"/>
      <c r="R103" s="251"/>
      <c r="S103" s="75"/>
      <c r="T103" s="252"/>
      <c r="U103" s="75"/>
      <c r="V103" s="75"/>
      <c r="W103" s="75"/>
      <c r="X103" s="252"/>
      <c r="Y103" s="75"/>
      <c r="Z103" s="266">
        <f t="shared" si="4"/>
        <v>0</v>
      </c>
      <c r="AA103" s="415"/>
      <c r="AB103" s="415"/>
      <c r="AC103" s="415"/>
      <c r="AD103" s="415"/>
      <c r="AE103" s="415"/>
    </row>
    <row r="104" spans="1:31" s="244" customFormat="1" ht="24.75" hidden="1" thickBot="1" thickTop="1">
      <c r="A104" s="465" t="s">
        <v>287</v>
      </c>
      <c r="B104" s="265"/>
      <c r="C104" s="266">
        <f>SUM(C102:C103)</f>
        <v>0</v>
      </c>
      <c r="D104" s="492" t="s">
        <v>3</v>
      </c>
      <c r="E104" s="266">
        <f>SUM(E102:E103)</f>
        <v>0</v>
      </c>
      <c r="F104" s="492" t="s">
        <v>3</v>
      </c>
      <c r="G104" s="266">
        <f>SUM(G102:G103)</f>
        <v>0</v>
      </c>
      <c r="H104" s="492" t="s">
        <v>3</v>
      </c>
      <c r="I104" s="266">
        <f>SUM(I102:I103)</f>
        <v>0</v>
      </c>
      <c r="J104" s="492" t="s">
        <v>3</v>
      </c>
      <c r="K104" s="266">
        <f>SUM(K102:K103)</f>
        <v>0</v>
      </c>
      <c r="L104" s="492" t="s">
        <v>3</v>
      </c>
      <c r="M104" s="266">
        <f>SUM(M102:M103)</f>
        <v>0</v>
      </c>
      <c r="N104" s="492" t="s">
        <v>3</v>
      </c>
      <c r="O104" s="266">
        <f>SUM(O102:O103)</f>
        <v>0</v>
      </c>
      <c r="P104" s="492" t="s">
        <v>3</v>
      </c>
      <c r="Q104" s="266">
        <f>SUM(Q102:Q103)</f>
        <v>0</v>
      </c>
      <c r="R104" s="493"/>
      <c r="S104" s="266">
        <f>SUM(S102:S103)</f>
        <v>0</v>
      </c>
      <c r="T104" s="492" t="s">
        <v>3</v>
      </c>
      <c r="U104" s="266">
        <f>SUM(U102:U103)</f>
        <v>0</v>
      </c>
      <c r="V104" s="266"/>
      <c r="W104" s="266"/>
      <c r="X104" s="492" t="s">
        <v>3</v>
      </c>
      <c r="Y104" s="266">
        <f>SUM(Y102:Y103)</f>
        <v>0</v>
      </c>
      <c r="Z104" s="266">
        <f t="shared" si="4"/>
        <v>0</v>
      </c>
      <c r="AA104" s="415"/>
      <c r="AB104" s="415"/>
      <c r="AC104" s="415"/>
      <c r="AD104" s="415"/>
      <c r="AE104" s="415"/>
    </row>
    <row r="105" spans="1:31" s="244" customFormat="1" ht="24.75" hidden="1" thickBot="1" thickTop="1">
      <c r="A105" s="496"/>
      <c r="B105" s="273"/>
      <c r="C105" s="262">
        <v>0</v>
      </c>
      <c r="D105" s="481"/>
      <c r="E105" s="483"/>
      <c r="F105" s="494"/>
      <c r="G105" s="483"/>
      <c r="H105" s="494"/>
      <c r="I105" s="483"/>
      <c r="J105" s="494"/>
      <c r="K105" s="483"/>
      <c r="L105" s="494"/>
      <c r="M105" s="483"/>
      <c r="N105" s="494"/>
      <c r="O105" s="483"/>
      <c r="P105" s="494"/>
      <c r="Q105" s="483"/>
      <c r="R105" s="497"/>
      <c r="S105" s="483"/>
      <c r="T105" s="494"/>
      <c r="U105" s="483"/>
      <c r="V105" s="483"/>
      <c r="W105" s="483"/>
      <c r="X105" s="494"/>
      <c r="Y105" s="483"/>
      <c r="Z105" s="483">
        <f t="shared" si="4"/>
        <v>0</v>
      </c>
      <c r="AA105" s="415"/>
      <c r="AB105" s="415"/>
      <c r="AC105" s="415"/>
      <c r="AD105" s="415"/>
      <c r="AE105" s="415"/>
    </row>
    <row r="106" spans="1:31" s="244" customFormat="1" ht="24.75" hidden="1" thickBot="1" thickTop="1">
      <c r="A106" s="420" t="s">
        <v>288</v>
      </c>
      <c r="B106" s="268"/>
      <c r="C106" s="257">
        <f>SUM(C104:C105)</f>
        <v>0</v>
      </c>
      <c r="D106" s="472"/>
      <c r="E106" s="257">
        <f>E104+E105</f>
        <v>0</v>
      </c>
      <c r="F106" s="472"/>
      <c r="G106" s="257">
        <f>G104+G105</f>
        <v>0</v>
      </c>
      <c r="H106" s="472"/>
      <c r="I106" s="257">
        <f>I104+I105</f>
        <v>0</v>
      </c>
      <c r="J106" s="472"/>
      <c r="K106" s="257">
        <f>K104+K105</f>
        <v>0</v>
      </c>
      <c r="L106" s="472"/>
      <c r="M106" s="257">
        <f>M104+M105</f>
        <v>0</v>
      </c>
      <c r="N106" s="472"/>
      <c r="O106" s="257">
        <f>O104+O105</f>
        <v>0</v>
      </c>
      <c r="P106" s="472"/>
      <c r="Q106" s="257">
        <f>Q104+Q105</f>
        <v>0</v>
      </c>
      <c r="R106" s="473"/>
      <c r="S106" s="257">
        <f>S104+S105</f>
        <v>0</v>
      </c>
      <c r="T106" s="472"/>
      <c r="U106" s="257">
        <f>U104+U105</f>
        <v>0</v>
      </c>
      <c r="V106" s="257"/>
      <c r="W106" s="257"/>
      <c r="X106" s="472"/>
      <c r="Y106" s="257">
        <f>Y104+Y105</f>
        <v>0</v>
      </c>
      <c r="Z106" s="257">
        <f t="shared" si="4"/>
        <v>0</v>
      </c>
      <c r="AA106" s="415"/>
      <c r="AB106" s="415"/>
      <c r="AC106" s="415"/>
      <c r="AD106" s="415"/>
      <c r="AE106" s="415"/>
    </row>
    <row r="107" spans="1:26" ht="24" thickTop="1">
      <c r="A107" s="474" t="s">
        <v>8</v>
      </c>
      <c r="B107" s="245"/>
      <c r="C107" s="246"/>
      <c r="D107" s="250"/>
      <c r="E107" s="246"/>
      <c r="F107" s="250"/>
      <c r="G107" s="246"/>
      <c r="H107" s="250"/>
      <c r="I107" s="246"/>
      <c r="J107" s="250"/>
      <c r="K107" s="246"/>
      <c r="L107" s="250"/>
      <c r="M107" s="246"/>
      <c r="N107" s="250"/>
      <c r="O107" s="246"/>
      <c r="P107" s="250"/>
      <c r="Q107" s="246"/>
      <c r="R107" s="249"/>
      <c r="S107" s="246"/>
      <c r="T107" s="250"/>
      <c r="U107" s="246"/>
      <c r="V107" s="246"/>
      <c r="W107" s="246"/>
      <c r="X107" s="245" t="s">
        <v>293</v>
      </c>
      <c r="Y107" s="246">
        <v>6700</v>
      </c>
      <c r="Z107" s="334">
        <f>C107+E107+G107+I107+K107+M107+O107+U107+Q107+S107+Y107</f>
        <v>6700</v>
      </c>
    </row>
    <row r="108" spans="1:26" ht="23.25">
      <c r="A108" s="475"/>
      <c r="B108" s="269"/>
      <c r="C108" s="270"/>
      <c r="D108" s="476"/>
      <c r="E108" s="270"/>
      <c r="F108" s="476"/>
      <c r="G108" s="270"/>
      <c r="H108" s="476"/>
      <c r="I108" s="270"/>
      <c r="J108" s="476"/>
      <c r="K108" s="270"/>
      <c r="L108" s="476"/>
      <c r="M108" s="270"/>
      <c r="N108" s="476"/>
      <c r="O108" s="270"/>
      <c r="P108" s="476"/>
      <c r="Q108" s="270"/>
      <c r="R108" s="477"/>
      <c r="S108" s="270"/>
      <c r="T108" s="476"/>
      <c r="U108" s="270"/>
      <c r="V108" s="270"/>
      <c r="W108" s="270"/>
      <c r="X108" s="269" t="s">
        <v>285</v>
      </c>
      <c r="Y108" s="270">
        <v>60000</v>
      </c>
      <c r="Z108" s="400">
        <f>C108+E108+G108+I108+K108+M108+O108+U108+Q108+S108+Y108</f>
        <v>60000</v>
      </c>
    </row>
    <row r="109" spans="1:26" ht="23.25">
      <c r="A109" s="475"/>
      <c r="B109" s="247"/>
      <c r="C109" s="75"/>
      <c r="D109" s="252"/>
      <c r="E109" s="75"/>
      <c r="F109" s="252"/>
      <c r="G109" s="75"/>
      <c r="H109" s="252"/>
      <c r="I109" s="75"/>
      <c r="J109" s="252"/>
      <c r="K109" s="75"/>
      <c r="L109" s="252"/>
      <c r="M109" s="75"/>
      <c r="N109" s="252"/>
      <c r="O109" s="75"/>
      <c r="P109" s="252"/>
      <c r="Q109" s="75"/>
      <c r="R109" s="251"/>
      <c r="S109" s="75"/>
      <c r="T109" s="252"/>
      <c r="U109" s="75"/>
      <c r="V109" s="75"/>
      <c r="W109" s="75"/>
      <c r="X109" s="247" t="s">
        <v>286</v>
      </c>
      <c r="Y109" s="75">
        <v>2000</v>
      </c>
      <c r="Z109" s="400">
        <f>C109+E109+G109+I109+K109+M109+O109+U109+Q109+S109+Y109</f>
        <v>2000</v>
      </c>
    </row>
    <row r="110" spans="1:26" ht="23.25">
      <c r="A110" s="475"/>
      <c r="B110" s="247"/>
      <c r="C110" s="75"/>
      <c r="D110" s="252"/>
      <c r="E110" s="75"/>
      <c r="F110" s="252"/>
      <c r="G110" s="75"/>
      <c r="H110" s="252"/>
      <c r="I110" s="75"/>
      <c r="J110" s="252"/>
      <c r="K110" s="75"/>
      <c r="L110" s="252"/>
      <c r="M110" s="75"/>
      <c r="N110" s="252"/>
      <c r="O110" s="75"/>
      <c r="P110" s="252"/>
      <c r="Q110" s="75"/>
      <c r="R110" s="251"/>
      <c r="S110" s="75"/>
      <c r="T110" s="252"/>
      <c r="U110" s="75"/>
      <c r="V110" s="75"/>
      <c r="W110" s="75"/>
      <c r="X110" s="252"/>
      <c r="Y110" s="75"/>
      <c r="Z110" s="400">
        <f>C110+E110+G110+I110+K110+M110+O110+U110+Q110+S110+Y110</f>
        <v>0</v>
      </c>
    </row>
    <row r="111" spans="1:26" ht="23.25">
      <c r="A111" s="475"/>
      <c r="B111" s="247"/>
      <c r="C111" s="75"/>
      <c r="D111" s="252"/>
      <c r="E111" s="75"/>
      <c r="F111" s="252"/>
      <c r="G111" s="75"/>
      <c r="H111" s="252"/>
      <c r="I111" s="75"/>
      <c r="J111" s="252"/>
      <c r="K111" s="75"/>
      <c r="L111" s="252"/>
      <c r="M111" s="75"/>
      <c r="N111" s="252"/>
      <c r="O111" s="75"/>
      <c r="P111" s="252"/>
      <c r="Q111" s="75"/>
      <c r="R111" s="251"/>
      <c r="S111" s="75"/>
      <c r="T111" s="252"/>
      <c r="U111" s="75"/>
      <c r="V111" s="75"/>
      <c r="W111" s="75"/>
      <c r="X111" s="252"/>
      <c r="Y111" s="75"/>
      <c r="Z111" s="400">
        <f>C111+E111+G111+I111+K111+M111+O111+U111+Q111+S111+Y111</f>
        <v>0</v>
      </c>
    </row>
    <row r="112" spans="1:26" ht="23.25">
      <c r="A112" s="464"/>
      <c r="B112" s="247"/>
      <c r="C112" s="75"/>
      <c r="D112" s="252"/>
      <c r="E112" s="75"/>
      <c r="F112" s="252"/>
      <c r="G112" s="75"/>
      <c r="H112" s="252"/>
      <c r="I112" s="75"/>
      <c r="J112" s="252"/>
      <c r="K112" s="75"/>
      <c r="L112" s="252"/>
      <c r="M112" s="75"/>
      <c r="N112" s="252"/>
      <c r="O112" s="75"/>
      <c r="P112" s="252"/>
      <c r="Q112" s="75"/>
      <c r="R112" s="251"/>
      <c r="S112" s="75"/>
      <c r="T112" s="252"/>
      <c r="U112" s="75"/>
      <c r="V112" s="75"/>
      <c r="W112" s="75"/>
      <c r="X112" s="252"/>
      <c r="Y112" s="75"/>
      <c r="Z112" s="266"/>
    </row>
    <row r="113" spans="1:26" s="415" customFormat="1" ht="23.25">
      <c r="A113" s="465" t="s">
        <v>287</v>
      </c>
      <c r="B113" s="265"/>
      <c r="C113" s="266">
        <f>SUM(C107:C112)</f>
        <v>0</v>
      </c>
      <c r="D113" s="492" t="s">
        <v>3</v>
      </c>
      <c r="E113" s="266">
        <f>SUM(E107:E107)</f>
        <v>0</v>
      </c>
      <c r="F113" s="492" t="s">
        <v>3</v>
      </c>
      <c r="G113" s="266">
        <f>SUM(G107:G107)</f>
        <v>0</v>
      </c>
      <c r="H113" s="492" t="s">
        <v>3</v>
      </c>
      <c r="I113" s="266">
        <f>SUM(I107:I107)</f>
        <v>0</v>
      </c>
      <c r="J113" s="492" t="s">
        <v>3</v>
      </c>
      <c r="K113" s="266">
        <f>SUM(K107:K107)</f>
        <v>0</v>
      </c>
      <c r="L113" s="492" t="s">
        <v>3</v>
      </c>
      <c r="M113" s="266">
        <f>SUM(M107:M107)</f>
        <v>0</v>
      </c>
      <c r="N113" s="492" t="s">
        <v>3</v>
      </c>
      <c r="O113" s="266">
        <f>SUM(O107:O107)</f>
        <v>0</v>
      </c>
      <c r="P113" s="492" t="s">
        <v>3</v>
      </c>
      <c r="Q113" s="266">
        <f>SUM(Q107:Q107)</f>
        <v>0</v>
      </c>
      <c r="R113" s="493"/>
      <c r="S113" s="266">
        <f>SUM(S107:S107)</f>
        <v>0</v>
      </c>
      <c r="T113" s="266">
        <f>SUM(T107:T107)</f>
        <v>0</v>
      </c>
      <c r="U113" s="266">
        <f>SUM(U107:U107)</f>
        <v>0</v>
      </c>
      <c r="V113" s="266"/>
      <c r="W113" s="266">
        <f>SUM(W107:W107)</f>
        <v>0</v>
      </c>
      <c r="X113" s="492" t="s">
        <v>3</v>
      </c>
      <c r="Y113" s="266">
        <f>SUM(Y107:Y110)</f>
        <v>68700</v>
      </c>
      <c r="Z113" s="266">
        <f>C113+E113+G113+I113+K113+M113+O113+U113+Q113+S113+Y113</f>
        <v>68700</v>
      </c>
    </row>
    <row r="114" spans="1:31" s="244" customFormat="1" ht="23.25">
      <c r="A114" s="496"/>
      <c r="B114" s="273"/>
      <c r="C114" s="262">
        <v>0</v>
      </c>
      <c r="D114" s="481"/>
      <c r="E114" s="483"/>
      <c r="F114" s="494"/>
      <c r="G114" s="483"/>
      <c r="H114" s="494"/>
      <c r="I114" s="483"/>
      <c r="J114" s="494"/>
      <c r="K114" s="483"/>
      <c r="L114" s="494"/>
      <c r="M114" s="483"/>
      <c r="N114" s="494"/>
      <c r="O114" s="483"/>
      <c r="P114" s="494"/>
      <c r="Q114" s="483"/>
      <c r="R114" s="497"/>
      <c r="S114" s="483"/>
      <c r="T114" s="494"/>
      <c r="U114" s="483"/>
      <c r="V114" s="483"/>
      <c r="W114" s="483"/>
      <c r="X114" s="494"/>
      <c r="Y114" s="483"/>
      <c r="Z114" s="483">
        <f>C114+E114+G114+I114+K114+M114+O114+U114+Q114+S114+Y114</f>
        <v>0</v>
      </c>
      <c r="AA114" s="415"/>
      <c r="AB114" s="415"/>
      <c r="AC114" s="415"/>
      <c r="AD114" s="415"/>
      <c r="AE114" s="415"/>
    </row>
    <row r="115" spans="1:31" s="244" customFormat="1" ht="24" thickBot="1">
      <c r="A115" s="420" t="s">
        <v>288</v>
      </c>
      <c r="B115" s="268"/>
      <c r="C115" s="257">
        <f>SUM(C113:C114)</f>
        <v>0</v>
      </c>
      <c r="D115" s="472"/>
      <c r="E115" s="257">
        <f>E113+E114</f>
        <v>0</v>
      </c>
      <c r="F115" s="472"/>
      <c r="G115" s="257">
        <f>G113+G114</f>
        <v>0</v>
      </c>
      <c r="H115" s="472"/>
      <c r="I115" s="257">
        <f>I113+I114</f>
        <v>0</v>
      </c>
      <c r="J115" s="472"/>
      <c r="K115" s="257">
        <f>K113+K114</f>
        <v>0</v>
      </c>
      <c r="L115" s="472"/>
      <c r="M115" s="257">
        <f>M113+M114</f>
        <v>0</v>
      </c>
      <c r="N115" s="472"/>
      <c r="O115" s="257">
        <f>O113+O114</f>
        <v>0</v>
      </c>
      <c r="P115" s="472"/>
      <c r="Q115" s="257">
        <f>Q113+Q114</f>
        <v>0</v>
      </c>
      <c r="R115" s="473"/>
      <c r="S115" s="257">
        <f>S113+S114</f>
        <v>0</v>
      </c>
      <c r="T115" s="257">
        <f>T113+T114</f>
        <v>0</v>
      </c>
      <c r="U115" s="257">
        <f>U113+U114</f>
        <v>0</v>
      </c>
      <c r="V115" s="257"/>
      <c r="W115" s="257">
        <f>W113+W114</f>
        <v>0</v>
      </c>
      <c r="X115" s="472"/>
      <c r="Y115" s="257">
        <f>Y113+Y114</f>
        <v>68700</v>
      </c>
      <c r="Z115" s="257">
        <f>C115+E115+G115+I115+K115+M115+O115+U115+Q115+S115+Y115</f>
        <v>68700</v>
      </c>
      <c r="AA115" s="415"/>
      <c r="AB115" s="415"/>
      <c r="AC115" s="415"/>
      <c r="AD115" s="415"/>
      <c r="AE115" s="415"/>
    </row>
    <row r="116" spans="1:26" ht="24" thickTop="1">
      <c r="A116" s="498"/>
      <c r="B116" s="275"/>
      <c r="C116" s="276"/>
      <c r="D116" s="499"/>
      <c r="E116" s="276"/>
      <c r="F116" s="499"/>
      <c r="G116" s="276"/>
      <c r="H116" s="499"/>
      <c r="I116" s="276"/>
      <c r="J116" s="499"/>
      <c r="K116" s="276"/>
      <c r="L116" s="499"/>
      <c r="M116" s="276"/>
      <c r="N116" s="499"/>
      <c r="O116" s="276"/>
      <c r="P116" s="499"/>
      <c r="Q116" s="276"/>
      <c r="R116" s="500"/>
      <c r="S116" s="276"/>
      <c r="T116" s="499"/>
      <c r="U116" s="276"/>
      <c r="V116" s="276"/>
      <c r="W116" s="276"/>
      <c r="X116" s="499"/>
      <c r="Y116" s="276"/>
      <c r="Z116" s="428">
        <f>C116+E116+G116+I116+K116+M116+O116+U116+Q116+S116+Y116</f>
        <v>0</v>
      </c>
    </row>
    <row r="117" spans="1:26" ht="24" thickBot="1">
      <c r="A117" s="421" t="s">
        <v>307</v>
      </c>
      <c r="B117" s="268"/>
      <c r="C117" s="257">
        <f>C115+C106+C101+C93+C86+C78+C70+C57+C40+C27+C19+C12</f>
        <v>-249700</v>
      </c>
      <c r="D117" s="472"/>
      <c r="E117" s="257">
        <f>E115+E106+E101+E93+E86+E78+E70+E57+E40+E27+E19+E12</f>
        <v>0</v>
      </c>
      <c r="F117" s="472"/>
      <c r="G117" s="257">
        <f>G115+G106+G101+G93+G86+G78+G70+G57+G40+G27+G19+G12</f>
        <v>5000</v>
      </c>
      <c r="H117" s="472"/>
      <c r="I117" s="257">
        <f>I115+I106+I101+I93+I86+I78+I70+I57+I40+I27+I19+I12</f>
        <v>-5000</v>
      </c>
      <c r="J117" s="472"/>
      <c r="K117" s="257">
        <f>K115+K106+K101+K93+K86+K78+K70+K57+K40+K27+K19+K12</f>
        <v>0</v>
      </c>
      <c r="L117" s="472"/>
      <c r="M117" s="257">
        <f>M115+M106+M101+M93+M86+M78+M70+M57+M40+M27+M19+M12</f>
        <v>-20000</v>
      </c>
      <c r="N117" s="472"/>
      <c r="O117" s="257">
        <f>O115+O106+O101+O93+O86+O78+O70+O57+O40+O27+O19+O12</f>
        <v>319500</v>
      </c>
      <c r="P117" s="472"/>
      <c r="Q117" s="257">
        <f>Q115+Q106+Q101+Q93+Q86+Q78+Q70+Q57+Q40+Q27+Q19+Q12</f>
        <v>0</v>
      </c>
      <c r="R117" s="473"/>
      <c r="S117" s="257">
        <f>S115+S106+S101+S93+S86+S78+S70+S57+S40+S27+S19+S12</f>
        <v>-118500</v>
      </c>
      <c r="T117" s="257">
        <f>T115+T106+T101+T93+T86+T78+T70+T57+T40+T27+T19+T12</f>
        <v>0</v>
      </c>
      <c r="U117" s="257">
        <f>U115+U106+U101+U93+U86+U78+U70+U57+U40+U27+U19+U12</f>
        <v>0</v>
      </c>
      <c r="V117" s="257"/>
      <c r="W117" s="257">
        <f>W115+W106+W101+W93+W86+W78+W70+W57+W40+W27+W19+W12</f>
        <v>0</v>
      </c>
      <c r="X117" s="472"/>
      <c r="Y117" s="257">
        <f>Y115+Y106+Y101+Y93+Y86+Y78+Y70+Y57+Y40+Y27+Y19+Y12</f>
        <v>68700</v>
      </c>
      <c r="Z117" s="257">
        <f>C117+E117+G117+I117+K117+M117+O117+U117+Q117+S117+Y117</f>
        <v>0</v>
      </c>
    </row>
    <row r="118" spans="1:26" ht="24" thickTop="1">
      <c r="A118" s="498"/>
      <c r="B118" s="275"/>
      <c r="C118" s="276" t="s">
        <v>3</v>
      </c>
      <c r="D118" s="499"/>
      <c r="E118" s="276"/>
      <c r="F118" s="499"/>
      <c r="G118" s="276"/>
      <c r="H118" s="499"/>
      <c r="I118" s="276"/>
      <c r="J118" s="499"/>
      <c r="K118" s="276" t="s">
        <v>3</v>
      </c>
      <c r="L118" s="499"/>
      <c r="M118" s="276"/>
      <c r="N118" s="499"/>
      <c r="O118" s="276"/>
      <c r="P118" s="499"/>
      <c r="Q118" s="276"/>
      <c r="R118" s="500"/>
      <c r="S118" s="276"/>
      <c r="T118" s="499"/>
      <c r="U118" s="276"/>
      <c r="V118" s="276"/>
      <c r="W118" s="276"/>
      <c r="X118" s="499"/>
      <c r="Y118" s="276"/>
      <c r="Z118" s="428" t="s">
        <v>3</v>
      </c>
    </row>
    <row r="119" spans="1:31" s="244" customFormat="1" ht="24" thickBot="1">
      <c r="A119" s="420" t="s">
        <v>287</v>
      </c>
      <c r="B119" s="268"/>
      <c r="C119" s="257">
        <f>C113+C104+C99+C91+C84+C76+C68+C55+C38+C25+C17+C10</f>
        <v>-249700</v>
      </c>
      <c r="D119" s="472"/>
      <c r="E119" s="257">
        <f>E113+E104+E99+E91+E84+E76+E68+E55+E38+E25+E17+E10</f>
        <v>0</v>
      </c>
      <c r="F119" s="472"/>
      <c r="G119" s="257">
        <f>G113+G104+G99+G91+G84+G76+G68+G55+G38+G25+G17+G10</f>
        <v>5000</v>
      </c>
      <c r="H119" s="472"/>
      <c r="I119" s="257">
        <f>I113+I104+I99+I91+I84+I76+I68+I55+I38+I25+I17+I10</f>
        <v>-5000</v>
      </c>
      <c r="J119" s="472"/>
      <c r="K119" s="257">
        <f>K113+K104+K99+K91+K84+K76+K68+K55+K38+K25+K17+K10</f>
        <v>0</v>
      </c>
      <c r="L119" s="472"/>
      <c r="M119" s="257">
        <f>M113+M104+M99+M91+M84+M76+M68+M55+M38+M25+M17+M10</f>
        <v>-20000</v>
      </c>
      <c r="N119" s="472"/>
      <c r="O119" s="257">
        <f>O113+O104+O99+O91+O84+O76+O68+O55+O38+O25+O17+O10</f>
        <v>319500</v>
      </c>
      <c r="P119" s="472"/>
      <c r="Q119" s="257">
        <f>Q113+Q104+Q99+Q91+Q84+Q76+Q68+Q55+Q38+Q25+Q17+Q10</f>
        <v>0</v>
      </c>
      <c r="R119" s="473"/>
      <c r="S119" s="257">
        <f>S113+S104+S99+S91+S84+S76+S68+S55+S38+S25+S17+S10</f>
        <v>-118500</v>
      </c>
      <c r="T119" s="257" t="e">
        <f>T113+T104+T99+T91+T84+T76+T68+T55+T38+T25+T17+T10</f>
        <v>#VALUE!</v>
      </c>
      <c r="U119" s="257">
        <f>U113+U104+U99+U91+U84+U76+U68+U55+U38+U25+U17+U10</f>
        <v>0</v>
      </c>
      <c r="V119" s="257"/>
      <c r="W119" s="257">
        <f>W113+W104+W99+W91+W84+W76+W68+W55+W38+W25+W17+W10</f>
        <v>0</v>
      </c>
      <c r="X119" s="472"/>
      <c r="Y119" s="257">
        <f>Y113+Y104+Y99+Y91+Y84+Y76+Y68+Y55+Y38+Y25+Y17+Y10</f>
        <v>68700</v>
      </c>
      <c r="Z119" s="257">
        <f>C119+E119+G119+I119+K119+M119+O119+U119+Q119+S119+Y119</f>
        <v>0</v>
      </c>
      <c r="AA119" s="415"/>
      <c r="AB119" s="415"/>
      <c r="AC119" s="415"/>
      <c r="AD119" s="415"/>
      <c r="AE119" s="415"/>
    </row>
    <row r="120" ht="24" thickTop="1">
      <c r="C120" s="12">
        <v>0</v>
      </c>
    </row>
    <row r="121" ht="23.25">
      <c r="Z121" s="504">
        <f>C119+E119+G119+I119+K119+M119+O119+Q119+S119+W119+Y119</f>
        <v>0</v>
      </c>
    </row>
    <row r="122" ht="23.25">
      <c r="Z122" s="263"/>
    </row>
  </sheetData>
  <sheetProtection/>
  <mergeCells count="15">
    <mergeCell ref="R4:S4"/>
    <mergeCell ref="T4:U4"/>
    <mergeCell ref="V4:W4"/>
    <mergeCell ref="B4:C4"/>
    <mergeCell ref="D4:E4"/>
    <mergeCell ref="N4:O4"/>
    <mergeCell ref="F4:G4"/>
    <mergeCell ref="H4:I4"/>
    <mergeCell ref="J4:K4"/>
    <mergeCell ref="L4:M4"/>
    <mergeCell ref="A1:Z1"/>
    <mergeCell ref="A2:Z2"/>
    <mergeCell ref="A3:Z3"/>
    <mergeCell ref="X4:Y4"/>
    <mergeCell ref="P4:Q4"/>
  </mergeCells>
  <printOptions/>
  <pageMargins left="0.5905511811023623" right="0.31496062992125984" top="0.5118110236220472" bottom="0.2755905511811024" header="0.31496062992125984" footer="0.2362204724409449"/>
  <pageSetup horizontalDpi="600" verticalDpi="600" orientation="landscape" paperSize="5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38"/>
  <sheetViews>
    <sheetView zoomScalePageLayoutView="0" workbookViewId="0" topLeftCell="A1">
      <pane xSplit="1" ySplit="4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O2"/>
    </sheetView>
  </sheetViews>
  <sheetFormatPr defaultColWidth="9.140625" defaultRowHeight="23.25"/>
  <cols>
    <col min="1" max="1" width="24.421875" style="457" bestFit="1" customWidth="1"/>
    <col min="2" max="2" width="4.28125" style="457" bestFit="1" customWidth="1"/>
    <col min="3" max="3" width="13.421875" style="12" customWidth="1"/>
    <col min="4" max="4" width="12.7109375" style="12" bestFit="1" customWidth="1"/>
    <col min="5" max="5" width="14.57421875" style="12" customWidth="1"/>
    <col min="6" max="6" width="14.28125" style="12" customWidth="1"/>
    <col min="7" max="7" width="11.28125" style="12" bestFit="1" customWidth="1"/>
    <col min="8" max="8" width="12.7109375" style="12" bestFit="1" customWidth="1"/>
    <col min="9" max="9" width="13.57421875" style="12" bestFit="1" customWidth="1"/>
    <col min="10" max="10" width="10.57421875" style="12" hidden="1" customWidth="1"/>
    <col min="11" max="11" width="12.7109375" style="12" bestFit="1" customWidth="1"/>
    <col min="12" max="12" width="12.7109375" style="12" hidden="1" customWidth="1"/>
    <col min="13" max="13" width="11.28125" style="12" bestFit="1" customWidth="1"/>
    <col min="14" max="14" width="12.7109375" style="12" bestFit="1" customWidth="1"/>
    <col min="15" max="15" width="13.8515625" style="457" bestFit="1" customWidth="1"/>
    <col min="16" max="16" width="9.140625" style="2" customWidth="1"/>
    <col min="17" max="17" width="2.28125" style="2" customWidth="1"/>
    <col min="18" max="18" width="14.140625" style="2" customWidth="1"/>
    <col min="19" max="19" width="13.8515625" style="2" bestFit="1" customWidth="1"/>
    <col min="20" max="16384" width="9.140625" style="2" customWidth="1"/>
  </cols>
  <sheetData>
    <row r="1" spans="1:15" ht="23.25">
      <c r="A1" s="707" t="s">
        <v>366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</row>
    <row r="2" spans="1:15" ht="23.25">
      <c r="A2" s="707" t="s">
        <v>410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</row>
    <row r="3" spans="1:15" ht="23.25">
      <c r="A3" s="708" t="s">
        <v>280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spans="1:15" s="253" customFormat="1" ht="23.25">
      <c r="A4" s="404"/>
      <c r="B4" s="404"/>
      <c r="C4" s="405" t="s">
        <v>107</v>
      </c>
      <c r="D4" s="406" t="s">
        <v>108</v>
      </c>
      <c r="E4" s="405" t="s">
        <v>411</v>
      </c>
      <c r="F4" s="405" t="s">
        <v>282</v>
      </c>
      <c r="G4" s="406" t="s">
        <v>89</v>
      </c>
      <c r="H4" s="407" t="s">
        <v>308</v>
      </c>
      <c r="I4" s="406" t="s">
        <v>110</v>
      </c>
      <c r="J4" s="408" t="s">
        <v>113</v>
      </c>
      <c r="K4" s="407" t="s">
        <v>114</v>
      </c>
      <c r="L4" s="407" t="s">
        <v>412</v>
      </c>
      <c r="M4" s="407" t="s">
        <v>143</v>
      </c>
      <c r="N4" s="405" t="s">
        <v>8</v>
      </c>
      <c r="O4" s="404" t="s">
        <v>4</v>
      </c>
    </row>
    <row r="5" spans="1:16" ht="23.25">
      <c r="A5" s="409" t="s">
        <v>9</v>
      </c>
      <c r="B5" s="409"/>
      <c r="C5" s="381">
        <f>1803720+518760</f>
        <v>2322480</v>
      </c>
      <c r="D5" s="381"/>
      <c r="E5" s="381">
        <f>284760</f>
        <v>284760</v>
      </c>
      <c r="F5" s="381"/>
      <c r="G5" s="381"/>
      <c r="H5" s="381"/>
      <c r="I5" s="381">
        <f>383520</f>
        <v>383520</v>
      </c>
      <c r="J5" s="381"/>
      <c r="K5" s="381"/>
      <c r="L5" s="381"/>
      <c r="M5" s="381"/>
      <c r="N5" s="381"/>
      <c r="O5" s="322">
        <f>SUM(C5:N5)</f>
        <v>2990760</v>
      </c>
      <c r="P5" s="254"/>
    </row>
    <row r="6" spans="1:16" ht="23.25">
      <c r="A6" s="409"/>
      <c r="B6" s="409" t="s">
        <v>309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410"/>
      <c r="P6" s="254"/>
    </row>
    <row r="7" spans="1:15" s="116" customFormat="1" ht="23.25">
      <c r="A7" s="411" t="s">
        <v>4</v>
      </c>
      <c r="B7" s="412"/>
      <c r="C7" s="322">
        <f>SUM(C5:C6)</f>
        <v>2322480</v>
      </c>
      <c r="D7" s="322">
        <f aca="true" t="shared" si="0" ref="D7:O7">SUM(D5:D6)</f>
        <v>0</v>
      </c>
      <c r="E7" s="322">
        <f t="shared" si="0"/>
        <v>284760</v>
      </c>
      <c r="F7" s="322">
        <f t="shared" si="0"/>
        <v>0</v>
      </c>
      <c r="G7" s="322">
        <f t="shared" si="0"/>
        <v>0</v>
      </c>
      <c r="H7" s="322">
        <f t="shared" si="0"/>
        <v>0</v>
      </c>
      <c r="I7" s="322">
        <f t="shared" si="0"/>
        <v>383520</v>
      </c>
      <c r="J7" s="322">
        <f t="shared" si="0"/>
        <v>0</v>
      </c>
      <c r="K7" s="322">
        <f t="shared" si="0"/>
        <v>0</v>
      </c>
      <c r="L7" s="322">
        <f t="shared" si="0"/>
        <v>0</v>
      </c>
      <c r="M7" s="322">
        <f t="shared" si="0"/>
        <v>0</v>
      </c>
      <c r="N7" s="322">
        <f t="shared" si="0"/>
        <v>0</v>
      </c>
      <c r="O7" s="322">
        <f t="shared" si="0"/>
        <v>2990760</v>
      </c>
    </row>
    <row r="8" spans="1:15" s="415" customFormat="1" ht="23.25">
      <c r="A8" s="413" t="s">
        <v>310</v>
      </c>
      <c r="B8" s="412"/>
      <c r="C8" s="414">
        <f>'[1]โอน'!C10</f>
        <v>-124700</v>
      </c>
      <c r="D8" s="414">
        <f>'[1]โอน'!E10</f>
        <v>0</v>
      </c>
      <c r="E8" s="414">
        <f>'[1]โอน'!G10</f>
        <v>-65000</v>
      </c>
      <c r="F8" s="414">
        <f>'[1]โอน'!I10</f>
        <v>0</v>
      </c>
      <c r="G8" s="414">
        <f>'[1]โอน'!K10</f>
        <v>0</v>
      </c>
      <c r="H8" s="414">
        <f>'[1]โอน'!M10</f>
        <v>0</v>
      </c>
      <c r="I8" s="414">
        <f>'[1]โอน'!O10</f>
        <v>0</v>
      </c>
      <c r="J8" s="414">
        <f>'[1]โอน'!Q10</f>
        <v>0</v>
      </c>
      <c r="K8" s="414">
        <f>'[1]โอน'!S10</f>
        <v>0</v>
      </c>
      <c r="L8" s="414">
        <f>'[1]โอน'!T10</f>
        <v>0</v>
      </c>
      <c r="M8" s="414">
        <f>'[1]โอน'!U10</f>
        <v>0</v>
      </c>
      <c r="N8" s="414">
        <f>'[1]โอน'!Y10</f>
        <v>0</v>
      </c>
      <c r="O8" s="414">
        <f>SUM(C8:N8)</f>
        <v>-189700</v>
      </c>
    </row>
    <row r="9" spans="1:15" s="256" customFormat="1" ht="23.25" hidden="1">
      <c r="A9" s="416" t="s">
        <v>311</v>
      </c>
      <c r="B9" s="417"/>
      <c r="C9" s="418">
        <v>0</v>
      </c>
      <c r="D9" s="418">
        <v>0</v>
      </c>
      <c r="E9" s="418">
        <v>0</v>
      </c>
      <c r="F9" s="418">
        <v>0</v>
      </c>
      <c r="G9" s="418"/>
      <c r="H9" s="418">
        <v>0</v>
      </c>
      <c r="I9" s="418">
        <v>0</v>
      </c>
      <c r="J9" s="418">
        <v>0</v>
      </c>
      <c r="K9" s="418">
        <v>0</v>
      </c>
      <c r="L9" s="418">
        <v>0</v>
      </c>
      <c r="M9" s="418"/>
      <c r="N9" s="418">
        <f>'[2]โอน '!W19</f>
        <v>0</v>
      </c>
      <c r="O9" s="419">
        <f>SUM(C9:N9)</f>
        <v>0</v>
      </c>
    </row>
    <row r="10" spans="1:19" s="116" customFormat="1" ht="24" thickBot="1">
      <c r="A10" s="420" t="s">
        <v>288</v>
      </c>
      <c r="B10" s="421"/>
      <c r="C10" s="257">
        <f>SUM(C7:C9)</f>
        <v>2197780</v>
      </c>
      <c r="D10" s="257">
        <f aca="true" t="shared" si="1" ref="D10:N10">SUM(D7:D9)</f>
        <v>0</v>
      </c>
      <c r="E10" s="257">
        <f>SUM(E7:E9)</f>
        <v>219760</v>
      </c>
      <c r="F10" s="257">
        <f>SUM(F7:F9)</f>
        <v>0</v>
      </c>
      <c r="G10" s="257">
        <f t="shared" si="1"/>
        <v>0</v>
      </c>
      <c r="H10" s="257">
        <f t="shared" si="1"/>
        <v>0</v>
      </c>
      <c r="I10" s="257">
        <f>SUM(I7:I9)</f>
        <v>383520</v>
      </c>
      <c r="J10" s="257">
        <f t="shared" si="1"/>
        <v>0</v>
      </c>
      <c r="K10" s="257">
        <f t="shared" si="1"/>
        <v>0</v>
      </c>
      <c r="L10" s="257">
        <f t="shared" si="1"/>
        <v>0</v>
      </c>
      <c r="M10" s="257">
        <f t="shared" si="1"/>
        <v>0</v>
      </c>
      <c r="N10" s="257">
        <f t="shared" si="1"/>
        <v>0</v>
      </c>
      <c r="O10" s="422">
        <f>SUM(C10:N10)</f>
        <v>2801060</v>
      </c>
      <c r="R10" s="423"/>
      <c r="S10" s="423"/>
    </row>
    <row r="11" spans="1:15" s="116" customFormat="1" ht="24" thickTop="1">
      <c r="A11" s="260" t="s">
        <v>413</v>
      </c>
      <c r="B11" s="424"/>
      <c r="C11" s="425">
        <v>2135391.84</v>
      </c>
      <c r="D11" s="425"/>
      <c r="E11" s="425">
        <v>130260</v>
      </c>
      <c r="F11" s="425"/>
      <c r="G11" s="425"/>
      <c r="H11" s="425"/>
      <c r="I11" s="425">
        <v>377282.88</v>
      </c>
      <c r="J11" s="425"/>
      <c r="K11" s="425"/>
      <c r="L11" s="425"/>
      <c r="M11" s="425"/>
      <c r="N11" s="425"/>
      <c r="O11" s="426">
        <f>SUM(C11:N11)</f>
        <v>2642934.7199999997</v>
      </c>
    </row>
    <row r="12" spans="1:15" s="116" customFormat="1" ht="23.25">
      <c r="A12" s="261" t="s">
        <v>414</v>
      </c>
      <c r="B12" s="427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9">
        <f>SUM(C12:N12)</f>
        <v>0</v>
      </c>
    </row>
    <row r="13" spans="1:15" s="116" customFormat="1" ht="23.25">
      <c r="A13" s="260" t="s">
        <v>415</v>
      </c>
      <c r="B13" s="424"/>
      <c r="C13" s="425">
        <f>SUM(C11:C12)</f>
        <v>2135391.84</v>
      </c>
      <c r="D13" s="425">
        <f>SUM(D11:D12)</f>
        <v>0</v>
      </c>
      <c r="E13" s="425">
        <f aca="true" t="shared" si="2" ref="E13:N13">SUM(E11:E12)</f>
        <v>130260</v>
      </c>
      <c r="F13" s="425">
        <f t="shared" si="2"/>
        <v>0</v>
      </c>
      <c r="G13" s="425">
        <f t="shared" si="2"/>
        <v>0</v>
      </c>
      <c r="H13" s="425">
        <f t="shared" si="2"/>
        <v>0</v>
      </c>
      <c r="I13" s="425">
        <f t="shared" si="2"/>
        <v>377282.88</v>
      </c>
      <c r="J13" s="425">
        <f t="shared" si="2"/>
        <v>0</v>
      </c>
      <c r="K13" s="425">
        <f t="shared" si="2"/>
        <v>0</v>
      </c>
      <c r="L13" s="425">
        <f t="shared" si="2"/>
        <v>0</v>
      </c>
      <c r="M13" s="425">
        <f t="shared" si="2"/>
        <v>0</v>
      </c>
      <c r="N13" s="425">
        <f t="shared" si="2"/>
        <v>0</v>
      </c>
      <c r="O13" s="426">
        <f>SUM(O11:O12)</f>
        <v>2642934.7199999997</v>
      </c>
    </row>
    <row r="14" spans="1:15" s="116" customFormat="1" ht="24" thickBot="1">
      <c r="A14" s="260" t="s">
        <v>416</v>
      </c>
      <c r="B14" s="424"/>
      <c r="C14" s="425">
        <f>SUM(C11-C10)</f>
        <v>-62388.16000000015</v>
      </c>
      <c r="D14" s="425">
        <f aca="true" t="shared" si="3" ref="D14:N14">SUM(D11-D10)</f>
        <v>0</v>
      </c>
      <c r="E14" s="425">
        <f t="shared" si="3"/>
        <v>-89500</v>
      </c>
      <c r="F14" s="425">
        <f t="shared" si="3"/>
        <v>0</v>
      </c>
      <c r="G14" s="425">
        <f t="shared" si="3"/>
        <v>0</v>
      </c>
      <c r="H14" s="425">
        <f t="shared" si="3"/>
        <v>0</v>
      </c>
      <c r="I14" s="425">
        <f t="shared" si="3"/>
        <v>-6237.119999999995</v>
      </c>
      <c r="J14" s="425">
        <f t="shared" si="3"/>
        <v>0</v>
      </c>
      <c r="K14" s="425">
        <f t="shared" si="3"/>
        <v>0</v>
      </c>
      <c r="L14" s="425">
        <f t="shared" si="3"/>
        <v>0</v>
      </c>
      <c r="M14" s="425">
        <f t="shared" si="3"/>
        <v>0</v>
      </c>
      <c r="N14" s="425">
        <f t="shared" si="3"/>
        <v>0</v>
      </c>
      <c r="O14" s="430">
        <f>SUM(C14:N14)</f>
        <v>-158125.28000000014</v>
      </c>
    </row>
    <row r="15" spans="1:15" ht="24" thickTop="1">
      <c r="A15" s="431" t="s">
        <v>27</v>
      </c>
      <c r="B15" s="431"/>
      <c r="C15" s="432">
        <f>118560+262920</f>
        <v>381480</v>
      </c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28">
        <f>SUM(C15:N15)</f>
        <v>381480</v>
      </c>
    </row>
    <row r="16" spans="1:15" ht="23.25">
      <c r="A16" s="433"/>
      <c r="B16" s="434" t="s">
        <v>309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435"/>
    </row>
    <row r="17" spans="1:15" s="116" customFormat="1" ht="23.25">
      <c r="A17" s="411" t="s">
        <v>4</v>
      </c>
      <c r="B17" s="412"/>
      <c r="C17" s="322">
        <f aca="true" t="shared" si="4" ref="C17:M17">SUM(C15:C15)</f>
        <v>381480</v>
      </c>
      <c r="D17" s="322">
        <f t="shared" si="4"/>
        <v>0</v>
      </c>
      <c r="E17" s="322">
        <f t="shared" si="4"/>
        <v>0</v>
      </c>
      <c r="F17" s="322">
        <f t="shared" si="4"/>
        <v>0</v>
      </c>
      <c r="G17" s="322">
        <f t="shared" si="4"/>
        <v>0</v>
      </c>
      <c r="H17" s="322">
        <f t="shared" si="4"/>
        <v>0</v>
      </c>
      <c r="I17" s="322">
        <f t="shared" si="4"/>
        <v>0</v>
      </c>
      <c r="J17" s="322">
        <f t="shared" si="4"/>
        <v>0</v>
      </c>
      <c r="K17" s="322">
        <f t="shared" si="4"/>
        <v>0</v>
      </c>
      <c r="L17" s="322">
        <f t="shared" si="4"/>
        <v>0</v>
      </c>
      <c r="M17" s="322">
        <f t="shared" si="4"/>
        <v>0</v>
      </c>
      <c r="N17" s="322">
        <f>SUM(N15:N15)</f>
        <v>0</v>
      </c>
      <c r="O17" s="436">
        <f aca="true" t="shared" si="5" ref="O17:O24">SUM(C17:N17)</f>
        <v>381480</v>
      </c>
    </row>
    <row r="18" spans="1:15" s="116" customFormat="1" ht="23.25">
      <c r="A18" s="413" t="s">
        <v>310</v>
      </c>
      <c r="B18" s="412"/>
      <c r="C18" s="414">
        <f>'[1]โอน'!C17</f>
        <v>0</v>
      </c>
      <c r="D18" s="414">
        <f>'[1]โอน'!E17</f>
        <v>0</v>
      </c>
      <c r="E18" s="414">
        <f>'[1]โอน'!G17</f>
        <v>0</v>
      </c>
      <c r="F18" s="414">
        <f>'[1]โอน'!I17</f>
        <v>0</v>
      </c>
      <c r="G18" s="414">
        <f>'[1]โอน'!K17</f>
        <v>0</v>
      </c>
      <c r="H18" s="414">
        <f>'[1]โอน'!M17</f>
        <v>0</v>
      </c>
      <c r="I18" s="414">
        <f>'[1]โอน'!O17</f>
        <v>0</v>
      </c>
      <c r="J18" s="414">
        <f>'[1]โอน'!Q17</f>
        <v>0</v>
      </c>
      <c r="K18" s="414">
        <f>'[1]โอน'!S17</f>
        <v>0</v>
      </c>
      <c r="L18" s="414">
        <f>'[1]โอน'!T17</f>
        <v>0</v>
      </c>
      <c r="M18" s="414">
        <f>'[1]โอน'!U17</f>
        <v>0</v>
      </c>
      <c r="N18" s="414">
        <f>'[1]โอน'!Y17</f>
        <v>0</v>
      </c>
      <c r="O18" s="414">
        <f t="shared" si="5"/>
        <v>0</v>
      </c>
    </row>
    <row r="19" spans="1:15" s="256" customFormat="1" ht="23.25" hidden="1">
      <c r="A19" s="416" t="s">
        <v>311</v>
      </c>
      <c r="B19" s="417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9">
        <f t="shared" si="5"/>
        <v>0</v>
      </c>
    </row>
    <row r="20" spans="1:15" s="116" customFormat="1" ht="24" thickBot="1">
      <c r="A20" s="420" t="s">
        <v>288</v>
      </c>
      <c r="B20" s="421"/>
      <c r="C20" s="257">
        <f>SUM(C17:C19)</f>
        <v>381480</v>
      </c>
      <c r="D20" s="257">
        <f aca="true" t="shared" si="6" ref="D20:N20">SUM(D17:D19)</f>
        <v>0</v>
      </c>
      <c r="E20" s="257">
        <f t="shared" si="6"/>
        <v>0</v>
      </c>
      <c r="F20" s="257">
        <f t="shared" si="6"/>
        <v>0</v>
      </c>
      <c r="G20" s="257">
        <f t="shared" si="6"/>
        <v>0</v>
      </c>
      <c r="H20" s="257">
        <f t="shared" si="6"/>
        <v>0</v>
      </c>
      <c r="I20" s="257">
        <f t="shared" si="6"/>
        <v>0</v>
      </c>
      <c r="J20" s="257">
        <f t="shared" si="6"/>
        <v>0</v>
      </c>
      <c r="K20" s="257">
        <f t="shared" si="6"/>
        <v>0</v>
      </c>
      <c r="L20" s="257">
        <f t="shared" si="6"/>
        <v>0</v>
      </c>
      <c r="M20" s="257">
        <f t="shared" si="6"/>
        <v>0</v>
      </c>
      <c r="N20" s="257">
        <f t="shared" si="6"/>
        <v>0</v>
      </c>
      <c r="O20" s="422">
        <f t="shared" si="5"/>
        <v>381480</v>
      </c>
    </row>
    <row r="21" spans="1:15" s="116" customFormat="1" ht="24" thickTop="1">
      <c r="A21" s="260" t="s">
        <v>413</v>
      </c>
      <c r="B21" s="424"/>
      <c r="C21" s="425">
        <v>373260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6">
        <f t="shared" si="5"/>
        <v>373260</v>
      </c>
    </row>
    <row r="22" spans="1:15" s="116" customFormat="1" ht="23.25">
      <c r="A22" s="261" t="s">
        <v>414</v>
      </c>
      <c r="B22" s="427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9">
        <f>SUM(C22:N22)</f>
        <v>0</v>
      </c>
    </row>
    <row r="23" spans="1:15" s="116" customFormat="1" ht="23.25">
      <c r="A23" s="260" t="s">
        <v>415</v>
      </c>
      <c r="B23" s="424"/>
      <c r="C23" s="425">
        <f>SUM(C21:C22)</f>
        <v>373260</v>
      </c>
      <c r="D23" s="425">
        <f aca="true" t="shared" si="7" ref="D23:N23">SUM(D21:D22)</f>
        <v>0</v>
      </c>
      <c r="E23" s="425">
        <f t="shared" si="7"/>
        <v>0</v>
      </c>
      <c r="F23" s="425">
        <f t="shared" si="7"/>
        <v>0</v>
      </c>
      <c r="G23" s="425">
        <f t="shared" si="7"/>
        <v>0</v>
      </c>
      <c r="H23" s="425">
        <f t="shared" si="7"/>
        <v>0</v>
      </c>
      <c r="I23" s="425">
        <f t="shared" si="7"/>
        <v>0</v>
      </c>
      <c r="J23" s="425">
        <f t="shared" si="7"/>
        <v>0</v>
      </c>
      <c r="K23" s="425">
        <f>SUM(K21:K22)</f>
        <v>0</v>
      </c>
      <c r="L23" s="425">
        <f>SUM(L21:L22)</f>
        <v>0</v>
      </c>
      <c r="M23" s="425">
        <f>SUM(M21:M22)</f>
        <v>0</v>
      </c>
      <c r="N23" s="425">
        <f t="shared" si="7"/>
        <v>0</v>
      </c>
      <c r="O23" s="426">
        <f>SUM(O21:O22)</f>
        <v>373260</v>
      </c>
    </row>
    <row r="24" spans="1:15" s="116" customFormat="1" ht="24" thickBot="1">
      <c r="A24" s="437" t="s">
        <v>416</v>
      </c>
      <c r="B24" s="438"/>
      <c r="C24" s="335">
        <f>SUM(C21-C20)</f>
        <v>-8220</v>
      </c>
      <c r="D24" s="335">
        <f aca="true" t="shared" si="8" ref="D24:N24">SUM(D21-D20)</f>
        <v>0</v>
      </c>
      <c r="E24" s="335">
        <f t="shared" si="8"/>
        <v>0</v>
      </c>
      <c r="F24" s="335">
        <f t="shared" si="8"/>
        <v>0</v>
      </c>
      <c r="G24" s="335">
        <f t="shared" si="8"/>
        <v>0</v>
      </c>
      <c r="H24" s="335">
        <f t="shared" si="8"/>
        <v>0</v>
      </c>
      <c r="I24" s="335">
        <f t="shared" si="8"/>
        <v>0</v>
      </c>
      <c r="J24" s="335">
        <f t="shared" si="8"/>
        <v>0</v>
      </c>
      <c r="K24" s="335">
        <f t="shared" si="8"/>
        <v>0</v>
      </c>
      <c r="L24" s="335">
        <f t="shared" si="8"/>
        <v>0</v>
      </c>
      <c r="M24" s="335">
        <f t="shared" si="8"/>
        <v>0</v>
      </c>
      <c r="N24" s="335">
        <f t="shared" si="8"/>
        <v>0</v>
      </c>
      <c r="O24" s="430">
        <f t="shared" si="5"/>
        <v>-8220</v>
      </c>
    </row>
    <row r="25" spans="1:15" s="116" customFormat="1" ht="24" thickTop="1">
      <c r="A25" s="260"/>
      <c r="B25" s="424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6"/>
    </row>
    <row r="26" spans="1:15" s="116" customFormat="1" ht="24" thickBot="1">
      <c r="A26" s="260"/>
      <c r="B26" s="424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6"/>
    </row>
    <row r="27" spans="1:15" ht="24" thickTop="1">
      <c r="A27" s="431" t="s">
        <v>10</v>
      </c>
      <c r="B27" s="431"/>
      <c r="C27" s="432">
        <f>414240+78960</f>
        <v>493200</v>
      </c>
      <c r="D27" s="440"/>
      <c r="E27" s="432">
        <f>1358160</f>
        <v>1358160</v>
      </c>
      <c r="F27" s="432"/>
      <c r="G27" s="432"/>
      <c r="H27" s="432">
        <f>130080+47280</f>
        <v>177360</v>
      </c>
      <c r="I27" s="432">
        <f>196800</f>
        <v>196800</v>
      </c>
      <c r="J27" s="432"/>
      <c r="K27" s="432"/>
      <c r="L27" s="432"/>
      <c r="M27" s="432"/>
      <c r="N27" s="432"/>
      <c r="O27" s="441">
        <f>SUM(C27:N27)</f>
        <v>2225520</v>
      </c>
    </row>
    <row r="28" spans="1:15" ht="14.25" customHeight="1">
      <c r="A28" s="409"/>
      <c r="B28" s="409" t="s">
        <v>309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436"/>
    </row>
    <row r="29" spans="1:15" s="116" customFormat="1" ht="23.25">
      <c r="A29" s="411" t="s">
        <v>4</v>
      </c>
      <c r="B29" s="412"/>
      <c r="C29" s="322">
        <f aca="true" t="shared" si="9" ref="C29:N29">SUM(C27:C27)</f>
        <v>493200</v>
      </c>
      <c r="D29" s="322">
        <f t="shared" si="9"/>
        <v>0</v>
      </c>
      <c r="E29" s="322">
        <f t="shared" si="9"/>
        <v>1358160</v>
      </c>
      <c r="F29" s="322">
        <f t="shared" si="9"/>
        <v>0</v>
      </c>
      <c r="G29" s="322">
        <f t="shared" si="9"/>
        <v>0</v>
      </c>
      <c r="H29" s="322">
        <f t="shared" si="9"/>
        <v>177360</v>
      </c>
      <c r="I29" s="322">
        <f t="shared" si="9"/>
        <v>196800</v>
      </c>
      <c r="J29" s="322">
        <f t="shared" si="9"/>
        <v>0</v>
      </c>
      <c r="K29" s="322">
        <f t="shared" si="9"/>
        <v>0</v>
      </c>
      <c r="L29" s="322">
        <f t="shared" si="9"/>
        <v>0</v>
      </c>
      <c r="M29" s="322">
        <f t="shared" si="9"/>
        <v>0</v>
      </c>
      <c r="N29" s="322">
        <f t="shared" si="9"/>
        <v>0</v>
      </c>
      <c r="O29" s="436">
        <f>SUM(C29:N29)</f>
        <v>2225520</v>
      </c>
    </row>
    <row r="30" spans="1:15" s="415" customFormat="1" ht="23.25">
      <c r="A30" s="413" t="s">
        <v>310</v>
      </c>
      <c r="B30" s="412"/>
      <c r="C30" s="414">
        <f>'[1]โอน'!C25</f>
        <v>-140000</v>
      </c>
      <c r="D30" s="414">
        <f>'[1]โอน'!E25</f>
        <v>0</v>
      </c>
      <c r="E30" s="414">
        <f>'[1]โอน'!G25</f>
        <v>0</v>
      </c>
      <c r="F30" s="414">
        <f>'[1]โอน'!I25</f>
        <v>0</v>
      </c>
      <c r="G30" s="414">
        <f>'[1]โอน'!K25</f>
        <v>0</v>
      </c>
      <c r="H30" s="414">
        <f>'[1]โอน'!M25</f>
        <v>53064</v>
      </c>
      <c r="I30" s="414">
        <f>'[1]โอน'!O25</f>
        <v>0</v>
      </c>
      <c r="J30" s="414">
        <f>'[1]โอน'!Q25</f>
        <v>0</v>
      </c>
      <c r="K30" s="414">
        <f>'[1]โอน'!S25</f>
        <v>0</v>
      </c>
      <c r="L30" s="414">
        <f>'[1]โอน'!T25</f>
        <v>0</v>
      </c>
      <c r="M30" s="414"/>
      <c r="N30" s="414">
        <f>'[1]โอน'!Y25</f>
        <v>0</v>
      </c>
      <c r="O30" s="414">
        <f aca="true" t="shared" si="10" ref="O30:O35">SUM(C30:N30)</f>
        <v>-86936</v>
      </c>
    </row>
    <row r="31" spans="1:15" s="256" customFormat="1" ht="23.25" hidden="1">
      <c r="A31" s="416" t="s">
        <v>311</v>
      </c>
      <c r="B31" s="442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9">
        <f t="shared" si="10"/>
        <v>0</v>
      </c>
    </row>
    <row r="32" spans="1:15" s="116" customFormat="1" ht="24" thickBot="1">
      <c r="A32" s="420" t="s">
        <v>288</v>
      </c>
      <c r="B32" s="421"/>
      <c r="C32" s="257">
        <f>SUM(C29:C31)</f>
        <v>353200</v>
      </c>
      <c r="D32" s="257">
        <f aca="true" t="shared" si="11" ref="D32:N32">SUM(D29:D31)</f>
        <v>0</v>
      </c>
      <c r="E32" s="257">
        <f>SUM(E29:E31)</f>
        <v>1358160</v>
      </c>
      <c r="F32" s="257">
        <f t="shared" si="11"/>
        <v>0</v>
      </c>
      <c r="G32" s="257">
        <f t="shared" si="11"/>
        <v>0</v>
      </c>
      <c r="H32" s="257">
        <f>SUM(H29:H31)</f>
        <v>230424</v>
      </c>
      <c r="I32" s="257">
        <f>SUM(I29:I31)</f>
        <v>196800</v>
      </c>
      <c r="J32" s="257">
        <f t="shared" si="11"/>
        <v>0</v>
      </c>
      <c r="K32" s="257">
        <f t="shared" si="11"/>
        <v>0</v>
      </c>
      <c r="L32" s="257">
        <f t="shared" si="11"/>
        <v>0</v>
      </c>
      <c r="M32" s="257">
        <f t="shared" si="11"/>
        <v>0</v>
      </c>
      <c r="N32" s="257">
        <f t="shared" si="11"/>
        <v>0</v>
      </c>
      <c r="O32" s="422">
        <f>SUM(C32:N32)</f>
        <v>2138584</v>
      </c>
    </row>
    <row r="33" spans="1:15" s="116" customFormat="1" ht="24" thickTop="1">
      <c r="A33" s="260" t="s">
        <v>413</v>
      </c>
      <c r="B33" s="424"/>
      <c r="C33" s="425">
        <v>277113</v>
      </c>
      <c r="D33" s="425"/>
      <c r="E33" s="425">
        <v>1358160</v>
      </c>
      <c r="F33" s="425"/>
      <c r="G33" s="425"/>
      <c r="H33" s="425">
        <v>230424</v>
      </c>
      <c r="I33" s="425">
        <v>155240</v>
      </c>
      <c r="J33" s="425"/>
      <c r="K33" s="425"/>
      <c r="L33" s="425"/>
      <c r="M33" s="425"/>
      <c r="N33" s="425"/>
      <c r="O33" s="426">
        <f t="shared" si="10"/>
        <v>2020937</v>
      </c>
    </row>
    <row r="34" spans="1:15" s="116" customFormat="1" ht="24" thickBot="1">
      <c r="A34" s="437" t="s">
        <v>416</v>
      </c>
      <c r="B34" s="438"/>
      <c r="C34" s="335">
        <f aca="true" t="shared" si="12" ref="C34:N34">SUM(C33-C32)</f>
        <v>-76087</v>
      </c>
      <c r="D34" s="335">
        <f t="shared" si="12"/>
        <v>0</v>
      </c>
      <c r="E34" s="335">
        <f t="shared" si="12"/>
        <v>0</v>
      </c>
      <c r="F34" s="335">
        <f t="shared" si="12"/>
        <v>0</v>
      </c>
      <c r="G34" s="335">
        <f t="shared" si="12"/>
        <v>0</v>
      </c>
      <c r="H34" s="335">
        <f t="shared" si="12"/>
        <v>0</v>
      </c>
      <c r="I34" s="335">
        <f t="shared" si="12"/>
        <v>-41560</v>
      </c>
      <c r="J34" s="335">
        <f t="shared" si="12"/>
        <v>0</v>
      </c>
      <c r="K34" s="335">
        <f t="shared" si="12"/>
        <v>0</v>
      </c>
      <c r="L34" s="335">
        <f t="shared" si="12"/>
        <v>0</v>
      </c>
      <c r="M34" s="335">
        <f t="shared" si="12"/>
        <v>0</v>
      </c>
      <c r="N34" s="335">
        <f t="shared" si="12"/>
        <v>0</v>
      </c>
      <c r="O34" s="430">
        <f>SUM(C34:N34)</f>
        <v>-117647</v>
      </c>
    </row>
    <row r="35" spans="1:16" ht="24" thickTop="1">
      <c r="A35" s="434" t="s">
        <v>11</v>
      </c>
      <c r="B35" s="434"/>
      <c r="C35" s="272">
        <f>151800+124200+1159200+37500+17000+8500+42500+8500+28800+50000+107400+10000+20000+100000+245000</f>
        <v>2110400</v>
      </c>
      <c r="D35" s="272"/>
      <c r="E35" s="272">
        <f>90000</f>
        <v>90000</v>
      </c>
      <c r="F35" s="272"/>
      <c r="G35" s="272"/>
      <c r="H35" s="272">
        <f>30000</f>
        <v>30000</v>
      </c>
      <c r="I35" s="272">
        <f>138800</f>
        <v>138800</v>
      </c>
      <c r="J35" s="272"/>
      <c r="K35" s="272"/>
      <c r="L35" s="272"/>
      <c r="M35" s="272"/>
      <c r="N35" s="272"/>
      <c r="O35" s="428">
        <f t="shared" si="10"/>
        <v>2369200</v>
      </c>
      <c r="P35" s="254"/>
    </row>
    <row r="36" spans="1:16" ht="16.5" customHeight="1">
      <c r="A36" s="410"/>
      <c r="B36" s="409" t="s">
        <v>312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410"/>
      <c r="P36" s="254"/>
    </row>
    <row r="37" spans="1:15" s="116" customFormat="1" ht="23.25">
      <c r="A37" s="411" t="s">
        <v>4</v>
      </c>
      <c r="B37" s="412"/>
      <c r="C37" s="322">
        <f aca="true" t="shared" si="13" ref="C37:N37">SUM(C35:C36)</f>
        <v>2110400</v>
      </c>
      <c r="D37" s="322">
        <f t="shared" si="13"/>
        <v>0</v>
      </c>
      <c r="E37" s="322">
        <f t="shared" si="13"/>
        <v>90000</v>
      </c>
      <c r="F37" s="322">
        <f t="shared" si="13"/>
        <v>0</v>
      </c>
      <c r="G37" s="322">
        <f t="shared" si="13"/>
        <v>0</v>
      </c>
      <c r="H37" s="322">
        <f t="shared" si="13"/>
        <v>30000</v>
      </c>
      <c r="I37" s="322">
        <f t="shared" si="13"/>
        <v>138800</v>
      </c>
      <c r="J37" s="322">
        <f t="shared" si="13"/>
        <v>0</v>
      </c>
      <c r="K37" s="322">
        <f t="shared" si="13"/>
        <v>0</v>
      </c>
      <c r="L37" s="322">
        <f t="shared" si="13"/>
        <v>0</v>
      </c>
      <c r="M37" s="322">
        <f t="shared" si="13"/>
        <v>0</v>
      </c>
      <c r="N37" s="322">
        <f t="shared" si="13"/>
        <v>0</v>
      </c>
      <c r="O37" s="436">
        <f aca="true" t="shared" si="14" ref="O37:O44">SUM(C37:N37)</f>
        <v>2369200</v>
      </c>
    </row>
    <row r="38" spans="1:15" s="415" customFormat="1" ht="23.25">
      <c r="A38" s="413" t="s">
        <v>310</v>
      </c>
      <c r="B38" s="412"/>
      <c r="C38" s="414">
        <f>'[1]โอน'!C38</f>
        <v>-278500</v>
      </c>
      <c r="D38" s="414">
        <f>'[1]โอน'!E38</f>
        <v>0</v>
      </c>
      <c r="E38" s="414">
        <f>'[1]โอน'!G38</f>
        <v>-10000</v>
      </c>
      <c r="F38" s="414">
        <f>'[1]โอน'!I38</f>
        <v>0</v>
      </c>
      <c r="G38" s="414">
        <f>'[1]โอน'!K38</f>
        <v>0</v>
      </c>
      <c r="H38" s="414">
        <f>'[1]โอน'!M38</f>
        <v>0</v>
      </c>
      <c r="I38" s="414">
        <f>'[1]โอน'!O38</f>
        <v>0</v>
      </c>
      <c r="J38" s="414">
        <f>'[1]โอน'!Q38</f>
        <v>0</v>
      </c>
      <c r="K38" s="414">
        <f>'[1]โอน'!S38</f>
        <v>0</v>
      </c>
      <c r="L38" s="414">
        <f>'[1]โอน'!T38</f>
        <v>0</v>
      </c>
      <c r="M38" s="414">
        <f>'[1]โอน'!U38</f>
        <v>0</v>
      </c>
      <c r="N38" s="414">
        <f>'[1]โอน'!Y38</f>
        <v>0</v>
      </c>
      <c r="O38" s="414">
        <f>SUM(C38:N38)</f>
        <v>-288500</v>
      </c>
    </row>
    <row r="39" spans="1:15" s="256" customFormat="1" ht="23.25" hidden="1">
      <c r="A39" s="416" t="s">
        <v>311</v>
      </c>
      <c r="B39" s="417"/>
      <c r="C39" s="418">
        <v>0</v>
      </c>
      <c r="D39" s="418">
        <v>0</v>
      </c>
      <c r="E39" s="418">
        <v>0</v>
      </c>
      <c r="F39" s="418">
        <v>0</v>
      </c>
      <c r="G39" s="418">
        <v>0</v>
      </c>
      <c r="H39" s="418">
        <v>0</v>
      </c>
      <c r="I39" s="418">
        <v>0</v>
      </c>
      <c r="J39" s="418">
        <v>0</v>
      </c>
      <c r="K39" s="418">
        <v>0</v>
      </c>
      <c r="L39" s="418">
        <v>0</v>
      </c>
      <c r="M39" s="418"/>
      <c r="N39" s="418">
        <v>0</v>
      </c>
      <c r="O39" s="419">
        <f t="shared" si="14"/>
        <v>0</v>
      </c>
    </row>
    <row r="40" spans="1:15" s="116" customFormat="1" ht="24" thickBot="1">
      <c r="A40" s="420" t="s">
        <v>288</v>
      </c>
      <c r="B40" s="421"/>
      <c r="C40" s="257">
        <f>SUM(C37:C39)</f>
        <v>1831900</v>
      </c>
      <c r="D40" s="257">
        <f aca="true" t="shared" si="15" ref="D40:N40">SUM(D37:D39)</f>
        <v>0</v>
      </c>
      <c r="E40" s="257">
        <f>SUM(E37:E39)</f>
        <v>80000</v>
      </c>
      <c r="F40" s="257">
        <f t="shared" si="15"/>
        <v>0</v>
      </c>
      <c r="G40" s="257">
        <f t="shared" si="15"/>
        <v>0</v>
      </c>
      <c r="H40" s="257">
        <f>SUM(H37:H39)</f>
        <v>30000</v>
      </c>
      <c r="I40" s="257">
        <f>SUM(I37:I39)</f>
        <v>138800</v>
      </c>
      <c r="J40" s="257">
        <f t="shared" si="15"/>
        <v>0</v>
      </c>
      <c r="K40" s="257">
        <f t="shared" si="15"/>
        <v>0</v>
      </c>
      <c r="L40" s="257">
        <f t="shared" si="15"/>
        <v>0</v>
      </c>
      <c r="M40" s="257">
        <f t="shared" si="15"/>
        <v>0</v>
      </c>
      <c r="N40" s="257">
        <f t="shared" si="15"/>
        <v>0</v>
      </c>
      <c r="O40" s="422">
        <f t="shared" si="14"/>
        <v>2080700</v>
      </c>
    </row>
    <row r="41" spans="1:15" s="116" customFormat="1" ht="24" thickTop="1">
      <c r="A41" s="260" t="s">
        <v>413</v>
      </c>
      <c r="B41" s="424"/>
      <c r="C41" s="425">
        <v>1580368</v>
      </c>
      <c r="D41" s="425"/>
      <c r="E41" s="425">
        <v>7690</v>
      </c>
      <c r="F41" s="425"/>
      <c r="G41" s="425"/>
      <c r="H41" s="425">
        <v>13860</v>
      </c>
      <c r="I41" s="425">
        <v>67955</v>
      </c>
      <c r="J41" s="425"/>
      <c r="K41" s="425"/>
      <c r="L41" s="425"/>
      <c r="M41" s="425"/>
      <c r="N41" s="425"/>
      <c r="O41" s="426">
        <f t="shared" si="14"/>
        <v>1669873</v>
      </c>
    </row>
    <row r="42" spans="1:15" s="116" customFormat="1" ht="23.25">
      <c r="A42" s="261" t="s">
        <v>414</v>
      </c>
      <c r="B42" s="427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9">
        <f>SUM(C42:N42)</f>
        <v>0</v>
      </c>
    </row>
    <row r="43" spans="1:15" s="116" customFormat="1" ht="23.25">
      <c r="A43" s="260" t="s">
        <v>415</v>
      </c>
      <c r="B43" s="424"/>
      <c r="C43" s="425">
        <f aca="true" t="shared" si="16" ref="C43:O43">SUM(C41:C42)</f>
        <v>1580368</v>
      </c>
      <c r="D43" s="425">
        <f t="shared" si="16"/>
        <v>0</v>
      </c>
      <c r="E43" s="425">
        <f t="shared" si="16"/>
        <v>7690</v>
      </c>
      <c r="F43" s="425">
        <f t="shared" si="16"/>
        <v>0</v>
      </c>
      <c r="G43" s="425">
        <f t="shared" si="16"/>
        <v>0</v>
      </c>
      <c r="H43" s="425">
        <f t="shared" si="16"/>
        <v>13860</v>
      </c>
      <c r="I43" s="425">
        <f t="shared" si="16"/>
        <v>67955</v>
      </c>
      <c r="J43" s="425">
        <f t="shared" si="16"/>
        <v>0</v>
      </c>
      <c r="K43" s="425">
        <f t="shared" si="16"/>
        <v>0</v>
      </c>
      <c r="L43" s="425">
        <f t="shared" si="16"/>
        <v>0</v>
      </c>
      <c r="M43" s="425">
        <f t="shared" si="16"/>
        <v>0</v>
      </c>
      <c r="N43" s="425">
        <f t="shared" si="16"/>
        <v>0</v>
      </c>
      <c r="O43" s="426">
        <f t="shared" si="16"/>
        <v>1669873</v>
      </c>
    </row>
    <row r="44" spans="1:15" s="116" customFormat="1" ht="24" thickBot="1">
      <c r="A44" s="437" t="s">
        <v>416</v>
      </c>
      <c r="B44" s="438"/>
      <c r="C44" s="335">
        <f aca="true" t="shared" si="17" ref="C44:N44">SUM(C41-C40)</f>
        <v>-251532</v>
      </c>
      <c r="D44" s="335">
        <f t="shared" si="17"/>
        <v>0</v>
      </c>
      <c r="E44" s="335">
        <f t="shared" si="17"/>
        <v>-72310</v>
      </c>
      <c r="F44" s="335">
        <f t="shared" si="17"/>
        <v>0</v>
      </c>
      <c r="G44" s="335">
        <f t="shared" si="17"/>
        <v>0</v>
      </c>
      <c r="H44" s="335">
        <f t="shared" si="17"/>
        <v>-16140</v>
      </c>
      <c r="I44" s="335">
        <f t="shared" si="17"/>
        <v>-70845</v>
      </c>
      <c r="J44" s="335">
        <f t="shared" si="17"/>
        <v>0</v>
      </c>
      <c r="K44" s="335">
        <f t="shared" si="17"/>
        <v>0</v>
      </c>
      <c r="L44" s="335">
        <f t="shared" si="17"/>
        <v>0</v>
      </c>
      <c r="M44" s="335">
        <f t="shared" si="17"/>
        <v>0</v>
      </c>
      <c r="N44" s="335">
        <f t="shared" si="17"/>
        <v>0</v>
      </c>
      <c r="O44" s="430">
        <f t="shared" si="14"/>
        <v>-410827</v>
      </c>
    </row>
    <row r="45" spans="1:16" ht="24" thickTop="1">
      <c r="A45" s="434" t="s">
        <v>12</v>
      </c>
      <c r="B45" s="434"/>
      <c r="C45" s="272">
        <f>48000+35040+60000+13230+50000+40000+60000+27240+160610+250000+100000+680000</f>
        <v>1524120</v>
      </c>
      <c r="D45" s="272">
        <f>40000</f>
        <v>40000</v>
      </c>
      <c r="E45" s="272">
        <f>30000+30000+150000+2360+20000</f>
        <v>232360</v>
      </c>
      <c r="F45" s="272">
        <f>157200+63220+70400+70000+113350+120000</f>
        <v>594170</v>
      </c>
      <c r="G45" s="272">
        <f>30000+70000</f>
        <v>100000</v>
      </c>
      <c r="H45" s="272">
        <f>150000</f>
        <v>150000</v>
      </c>
      <c r="I45" s="272">
        <f>315000</f>
        <v>315000</v>
      </c>
      <c r="J45" s="272"/>
      <c r="K45" s="272">
        <f>120000+50000</f>
        <v>170000</v>
      </c>
      <c r="L45" s="272">
        <f>120000</f>
        <v>120000</v>
      </c>
      <c r="M45" s="272">
        <f>97600+63000</f>
        <v>160600</v>
      </c>
      <c r="N45" s="272"/>
      <c r="O45" s="429">
        <f>C45+D45+E45+F45+G45+H45+I45+K45+M45</f>
        <v>3286250</v>
      </c>
      <c r="P45" s="254"/>
    </row>
    <row r="46" spans="1:16" ht="12" customHeight="1">
      <c r="A46" s="410"/>
      <c r="B46" s="409" t="s">
        <v>312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410"/>
      <c r="P46" s="254"/>
    </row>
    <row r="47" spans="1:15" s="116" customFormat="1" ht="23.25">
      <c r="A47" s="411" t="s">
        <v>4</v>
      </c>
      <c r="B47" s="443"/>
      <c r="C47" s="322">
        <f>SUM(C45:C46)</f>
        <v>1524120</v>
      </c>
      <c r="D47" s="322">
        <f aca="true" t="shared" si="18" ref="D47:N47">SUM(D45:D46)</f>
        <v>40000</v>
      </c>
      <c r="E47" s="322">
        <f t="shared" si="18"/>
        <v>232360</v>
      </c>
      <c r="F47" s="322">
        <f t="shared" si="18"/>
        <v>594170</v>
      </c>
      <c r="G47" s="322">
        <f t="shared" si="18"/>
        <v>100000</v>
      </c>
      <c r="H47" s="322">
        <f>SUM(H45:H46)</f>
        <v>150000</v>
      </c>
      <c r="I47" s="322">
        <f t="shared" si="18"/>
        <v>315000</v>
      </c>
      <c r="J47" s="322">
        <f t="shared" si="18"/>
        <v>0</v>
      </c>
      <c r="K47" s="322">
        <f>SUM(K45:K46)</f>
        <v>170000</v>
      </c>
      <c r="L47" s="322">
        <f t="shared" si="18"/>
        <v>120000</v>
      </c>
      <c r="M47" s="322">
        <f t="shared" si="18"/>
        <v>160600</v>
      </c>
      <c r="N47" s="322">
        <f t="shared" si="18"/>
        <v>0</v>
      </c>
      <c r="O47" s="436">
        <f>C47+D47+E47+F47+G47+H47+I47+K47+M47</f>
        <v>3286250</v>
      </c>
    </row>
    <row r="48" spans="1:15" s="415" customFormat="1" ht="23.25">
      <c r="A48" s="413" t="s">
        <v>310</v>
      </c>
      <c r="B48" s="412"/>
      <c r="C48" s="414">
        <f>'[1]โอน'!C55</f>
        <v>218000</v>
      </c>
      <c r="D48" s="414">
        <f>'[1]โอน'!E55</f>
        <v>0</v>
      </c>
      <c r="E48" s="414">
        <f>'[1]โอน'!G55</f>
        <v>32000</v>
      </c>
      <c r="F48" s="414">
        <f>'[1]โอน'!I55</f>
        <v>0</v>
      </c>
      <c r="G48" s="414">
        <f>'[1]โอน'!K55</f>
        <v>0</v>
      </c>
      <c r="H48" s="414">
        <f>'[1]โอน'!M55</f>
        <v>-4264</v>
      </c>
      <c r="I48" s="414">
        <f>'[1]โอน'!O55</f>
        <v>361400</v>
      </c>
      <c r="J48" s="414">
        <f>'[1]โอน'!Q55</f>
        <v>0</v>
      </c>
      <c r="K48" s="414">
        <f>'[1]โอน'!S55</f>
        <v>131500</v>
      </c>
      <c r="L48" s="414">
        <f>'[1]โอน'!T55</f>
        <v>0</v>
      </c>
      <c r="M48" s="414">
        <f>'[1]โอน'!U55</f>
        <v>0</v>
      </c>
      <c r="N48" s="414">
        <f>'[1]โอน'!Y55</f>
        <v>0</v>
      </c>
      <c r="O48" s="414">
        <f>C48+D48+E48+F48+G48+H48+I48+J48+K48+M48+N48</f>
        <v>738636</v>
      </c>
    </row>
    <row r="49" spans="1:15" s="256" customFormat="1" ht="23.25" hidden="1">
      <c r="A49" s="416" t="s">
        <v>311</v>
      </c>
      <c r="B49" s="442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9">
        <f>SUM(C49:N49)</f>
        <v>0</v>
      </c>
    </row>
    <row r="50" spans="1:15" s="116" customFormat="1" ht="24" thickBot="1">
      <c r="A50" s="420" t="s">
        <v>288</v>
      </c>
      <c r="B50" s="421"/>
      <c r="C50" s="257">
        <f aca="true" t="shared" si="19" ref="C50:N50">SUM(C47:C49)</f>
        <v>1742120</v>
      </c>
      <c r="D50" s="257">
        <f t="shared" si="19"/>
        <v>40000</v>
      </c>
      <c r="E50" s="257">
        <f t="shared" si="19"/>
        <v>264360</v>
      </c>
      <c r="F50" s="257">
        <f t="shared" si="19"/>
        <v>594170</v>
      </c>
      <c r="G50" s="257">
        <f t="shared" si="19"/>
        <v>100000</v>
      </c>
      <c r="H50" s="257">
        <f t="shared" si="19"/>
        <v>145736</v>
      </c>
      <c r="I50" s="257">
        <f t="shared" si="19"/>
        <v>676400</v>
      </c>
      <c r="J50" s="257">
        <f t="shared" si="19"/>
        <v>0</v>
      </c>
      <c r="K50" s="257">
        <f t="shared" si="19"/>
        <v>301500</v>
      </c>
      <c r="L50" s="257">
        <f t="shared" si="19"/>
        <v>120000</v>
      </c>
      <c r="M50" s="257">
        <f t="shared" si="19"/>
        <v>160600</v>
      </c>
      <c r="N50" s="257">
        <f t="shared" si="19"/>
        <v>0</v>
      </c>
      <c r="O50" s="422">
        <f>C50+D50+E50+F50+G50+H50+I50+J50+K50+M50+N50</f>
        <v>4024886</v>
      </c>
    </row>
    <row r="51" spans="1:15" s="116" customFormat="1" ht="24" thickTop="1">
      <c r="A51" s="260" t="s">
        <v>413</v>
      </c>
      <c r="B51" s="424"/>
      <c r="C51" s="425">
        <f>1777000.95+11920</f>
        <v>1788920.95</v>
      </c>
      <c r="D51" s="425">
        <v>45570</v>
      </c>
      <c r="E51" s="425">
        <v>96669</v>
      </c>
      <c r="F51" s="425">
        <v>522185</v>
      </c>
      <c r="G51" s="425">
        <v>93865</v>
      </c>
      <c r="H51" s="425">
        <v>148689.5</v>
      </c>
      <c r="I51" s="425">
        <v>464365</v>
      </c>
      <c r="J51" s="425"/>
      <c r="K51" s="425">
        <v>55861</v>
      </c>
      <c r="L51" s="425"/>
      <c r="M51" s="425">
        <v>10187</v>
      </c>
      <c r="N51" s="425"/>
      <c r="O51" s="426">
        <f>SUM(C51:N51)</f>
        <v>3226312.45</v>
      </c>
    </row>
    <row r="52" spans="1:15" s="116" customFormat="1" ht="23.25">
      <c r="A52" s="261" t="s">
        <v>414</v>
      </c>
      <c r="B52" s="427"/>
      <c r="C52" s="428"/>
      <c r="D52" s="428"/>
      <c r="E52" s="428"/>
      <c r="F52" s="428"/>
      <c r="G52" s="428"/>
      <c r="H52" s="428"/>
      <c r="I52" s="428">
        <v>62000</v>
      </c>
      <c r="J52" s="428"/>
      <c r="K52" s="428"/>
      <c r="L52" s="428"/>
      <c r="M52" s="428"/>
      <c r="N52" s="428"/>
      <c r="O52" s="429">
        <f>SUM(C52:N52)</f>
        <v>62000</v>
      </c>
    </row>
    <row r="53" spans="1:15" s="116" customFormat="1" ht="23.25">
      <c r="A53" s="260" t="s">
        <v>415</v>
      </c>
      <c r="B53" s="424"/>
      <c r="C53" s="425">
        <f>SUM(C51:C52)</f>
        <v>1788920.95</v>
      </c>
      <c r="D53" s="425">
        <f aca="true" t="shared" si="20" ref="D53:N53">SUM(D51:D52)</f>
        <v>45570</v>
      </c>
      <c r="E53" s="425">
        <f t="shared" si="20"/>
        <v>96669</v>
      </c>
      <c r="F53" s="425">
        <f t="shared" si="20"/>
        <v>522185</v>
      </c>
      <c r="G53" s="425">
        <f t="shared" si="20"/>
        <v>93865</v>
      </c>
      <c r="H53" s="425">
        <f t="shared" si="20"/>
        <v>148689.5</v>
      </c>
      <c r="I53" s="425">
        <f t="shared" si="20"/>
        <v>526365</v>
      </c>
      <c r="J53" s="425">
        <f t="shared" si="20"/>
        <v>0</v>
      </c>
      <c r="K53" s="425">
        <f t="shared" si="20"/>
        <v>55861</v>
      </c>
      <c r="L53" s="425">
        <f t="shared" si="20"/>
        <v>0</v>
      </c>
      <c r="M53" s="425">
        <f t="shared" si="20"/>
        <v>10187</v>
      </c>
      <c r="N53" s="425">
        <f t="shared" si="20"/>
        <v>0</v>
      </c>
      <c r="O53" s="426">
        <f>SUM(O51:O52)</f>
        <v>3288312.45</v>
      </c>
    </row>
    <row r="54" spans="1:15" s="116" customFormat="1" ht="24" thickBot="1">
      <c r="A54" s="437" t="s">
        <v>416</v>
      </c>
      <c r="B54" s="438"/>
      <c r="C54" s="444">
        <f>SUM(C51-C50)</f>
        <v>46800.94999999995</v>
      </c>
      <c r="D54" s="444">
        <f>SUM(D51-D50)</f>
        <v>5570</v>
      </c>
      <c r="E54" s="335">
        <f>SUM(E51-E50)</f>
        <v>-167691</v>
      </c>
      <c r="F54" s="335">
        <f>SUM(F51-F50)</f>
        <v>-71985</v>
      </c>
      <c r="G54" s="335">
        <f aca="true" t="shared" si="21" ref="G54:N54">SUM(G51-G50)</f>
        <v>-6135</v>
      </c>
      <c r="H54" s="444">
        <f t="shared" si="21"/>
        <v>2953.5</v>
      </c>
      <c r="I54" s="335">
        <f t="shared" si="21"/>
        <v>-212035</v>
      </c>
      <c r="J54" s="335">
        <f t="shared" si="21"/>
        <v>0</v>
      </c>
      <c r="K54" s="335">
        <f t="shared" si="21"/>
        <v>-245639</v>
      </c>
      <c r="L54" s="335">
        <f t="shared" si="21"/>
        <v>-120000</v>
      </c>
      <c r="M54" s="335">
        <f t="shared" si="21"/>
        <v>-150413</v>
      </c>
      <c r="N54" s="335">
        <f t="shared" si="21"/>
        <v>0</v>
      </c>
      <c r="O54" s="430">
        <f>SUM(C54:N54)</f>
        <v>-918573.55</v>
      </c>
    </row>
    <row r="55" spans="1:16" ht="24" thickTop="1">
      <c r="A55" s="434" t="s">
        <v>13</v>
      </c>
      <c r="B55" s="434"/>
      <c r="C55" s="272">
        <f>30000+10000+5000+5000+30000+200000+100000+15000+20000+10000+133000</f>
        <v>558000</v>
      </c>
      <c r="D55" s="272">
        <f>30000</f>
        <v>30000</v>
      </c>
      <c r="E55" s="272">
        <f>40000+30000+20000+10000+10000+5000+462560+1260336+660800+141600</f>
        <v>2640296</v>
      </c>
      <c r="F55" s="272">
        <f>50000+68850</f>
        <v>118850</v>
      </c>
      <c r="G55" s="272"/>
      <c r="H55" s="272">
        <f>70000+150000+100000+5000</f>
        <v>325000</v>
      </c>
      <c r="I55" s="272">
        <f>265000</f>
        <v>265000</v>
      </c>
      <c r="J55" s="272"/>
      <c r="K55" s="272"/>
      <c r="L55" s="272"/>
      <c r="M55" s="272">
        <f>10000</f>
        <v>10000</v>
      </c>
      <c r="N55" s="272"/>
      <c r="O55" s="429">
        <f>SUM(C55:N55)</f>
        <v>3947146</v>
      </c>
      <c r="P55" s="254"/>
    </row>
    <row r="56" spans="1:16" ht="13.5" customHeight="1">
      <c r="A56" s="410"/>
      <c r="B56" s="409" t="s">
        <v>312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410"/>
      <c r="P56" s="254"/>
    </row>
    <row r="57" spans="1:15" s="116" customFormat="1" ht="23.25">
      <c r="A57" s="411" t="s">
        <v>4</v>
      </c>
      <c r="B57" s="443"/>
      <c r="C57" s="322">
        <f aca="true" t="shared" si="22" ref="C57:N57">SUM(C55:C56)</f>
        <v>558000</v>
      </c>
      <c r="D57" s="322">
        <f t="shared" si="22"/>
        <v>30000</v>
      </c>
      <c r="E57" s="322">
        <f t="shared" si="22"/>
        <v>2640296</v>
      </c>
      <c r="F57" s="322">
        <f t="shared" si="22"/>
        <v>118850</v>
      </c>
      <c r="G57" s="322">
        <f t="shared" si="22"/>
        <v>0</v>
      </c>
      <c r="H57" s="322">
        <f t="shared" si="22"/>
        <v>325000</v>
      </c>
      <c r="I57" s="322">
        <f t="shared" si="22"/>
        <v>265000</v>
      </c>
      <c r="J57" s="322">
        <f t="shared" si="22"/>
        <v>0</v>
      </c>
      <c r="K57" s="322">
        <f t="shared" si="22"/>
        <v>0</v>
      </c>
      <c r="L57" s="322">
        <f t="shared" si="22"/>
        <v>0</v>
      </c>
      <c r="M57" s="322">
        <f t="shared" si="22"/>
        <v>10000</v>
      </c>
      <c r="N57" s="322">
        <f t="shared" si="22"/>
        <v>0</v>
      </c>
      <c r="O57" s="436">
        <f aca="true" t="shared" si="23" ref="O57:O64">SUM(C57:N57)</f>
        <v>3947146</v>
      </c>
    </row>
    <row r="58" spans="1:15" s="415" customFormat="1" ht="23.25">
      <c r="A58" s="413" t="s">
        <v>310</v>
      </c>
      <c r="B58" s="412"/>
      <c r="C58" s="414">
        <f>'[1]โอน'!C68</f>
        <v>167589</v>
      </c>
      <c r="D58" s="414">
        <f>'[1]โอน'!E68</f>
        <v>0</v>
      </c>
      <c r="E58" s="414">
        <f>'[1]โอน'!G68</f>
        <v>48000</v>
      </c>
      <c r="F58" s="414">
        <f>'[1]โอน'!I68</f>
        <v>0</v>
      </c>
      <c r="G58" s="414">
        <f>'[1]โอน'!K68</f>
        <v>0</v>
      </c>
      <c r="H58" s="414">
        <f>'[1]โอน'!M68</f>
        <v>-20000</v>
      </c>
      <c r="I58" s="414">
        <f>'[1]โอน'!O68</f>
        <v>-41900</v>
      </c>
      <c r="J58" s="414">
        <f>'[1]โอน'!Q68</f>
        <v>0</v>
      </c>
      <c r="K58" s="414">
        <f>'[1]โอน'!S68</f>
        <v>0</v>
      </c>
      <c r="L58" s="414">
        <f>'[1]โอน'!T68</f>
        <v>0</v>
      </c>
      <c r="M58" s="414">
        <f>'[1]โอน'!U68</f>
        <v>0</v>
      </c>
      <c r="N58" s="414">
        <f>'[1]โอน'!Y68</f>
        <v>0</v>
      </c>
      <c r="O58" s="414">
        <f>SUM(C58:N58)</f>
        <v>153689</v>
      </c>
    </row>
    <row r="59" spans="1:15" s="256" customFormat="1" ht="23.25" hidden="1">
      <c r="A59" s="416" t="s">
        <v>311</v>
      </c>
      <c r="B59" s="442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9">
        <f t="shared" si="23"/>
        <v>0</v>
      </c>
    </row>
    <row r="60" spans="1:15" s="116" customFormat="1" ht="24" thickBot="1">
      <c r="A60" s="420" t="s">
        <v>288</v>
      </c>
      <c r="B60" s="421"/>
      <c r="C60" s="257">
        <f>SUM(C57:C59)</f>
        <v>725589</v>
      </c>
      <c r="D60" s="257">
        <f>SUM(D57:D59)</f>
        <v>30000</v>
      </c>
      <c r="E60" s="257">
        <f>SUM(E57:E59)</f>
        <v>2688296</v>
      </c>
      <c r="F60" s="257">
        <f>SUM(F57:F59)</f>
        <v>118850</v>
      </c>
      <c r="G60" s="257">
        <f aca="true" t="shared" si="24" ref="G60:N60">SUM(G57:G59)</f>
        <v>0</v>
      </c>
      <c r="H60" s="257">
        <f>SUM(H57:H59)</f>
        <v>305000</v>
      </c>
      <c r="I60" s="257">
        <f>SUM(I57:I59)</f>
        <v>223100</v>
      </c>
      <c r="J60" s="257">
        <f t="shared" si="24"/>
        <v>0</v>
      </c>
      <c r="K60" s="257">
        <f t="shared" si="24"/>
        <v>0</v>
      </c>
      <c r="L60" s="257">
        <f t="shared" si="24"/>
        <v>0</v>
      </c>
      <c r="M60" s="257">
        <f t="shared" si="24"/>
        <v>10000</v>
      </c>
      <c r="N60" s="257">
        <f t="shared" si="24"/>
        <v>0</v>
      </c>
      <c r="O60" s="422">
        <f>SUM(C60:N60)</f>
        <v>4100835</v>
      </c>
    </row>
    <row r="61" spans="1:15" s="116" customFormat="1" ht="24" thickTop="1">
      <c r="A61" s="260" t="s">
        <v>413</v>
      </c>
      <c r="B61" s="424"/>
      <c r="C61" s="425">
        <v>583368.6</v>
      </c>
      <c r="D61" s="425">
        <v>14124</v>
      </c>
      <c r="E61" s="425">
        <f>2722660.14-168000</f>
        <v>2554660.14</v>
      </c>
      <c r="F61" s="425">
        <v>75108</v>
      </c>
      <c r="G61" s="425"/>
      <c r="H61" s="425">
        <v>252583.75</v>
      </c>
      <c r="I61" s="425">
        <v>153784</v>
      </c>
      <c r="J61" s="425"/>
      <c r="K61" s="425"/>
      <c r="L61" s="425"/>
      <c r="M61" s="425">
        <v>3120</v>
      </c>
      <c r="N61" s="425"/>
      <c r="O61" s="426">
        <f t="shared" si="23"/>
        <v>3636748.49</v>
      </c>
    </row>
    <row r="62" spans="1:15" s="116" customFormat="1" ht="23.25">
      <c r="A62" s="261" t="s">
        <v>414</v>
      </c>
      <c r="B62" s="427"/>
      <c r="C62" s="428"/>
      <c r="D62" s="428"/>
      <c r="E62" s="428">
        <v>168000</v>
      </c>
      <c r="F62" s="428"/>
      <c r="G62" s="428"/>
      <c r="H62" s="428"/>
      <c r="I62" s="428">
        <v>17568</v>
      </c>
      <c r="J62" s="428"/>
      <c r="K62" s="428"/>
      <c r="L62" s="428"/>
      <c r="M62" s="428"/>
      <c r="N62" s="428"/>
      <c r="O62" s="429">
        <f>SUM(C62:N62)</f>
        <v>185568</v>
      </c>
    </row>
    <row r="63" spans="1:15" s="116" customFormat="1" ht="23.25">
      <c r="A63" s="260" t="s">
        <v>415</v>
      </c>
      <c r="B63" s="424"/>
      <c r="C63" s="425">
        <f aca="true" t="shared" si="25" ref="C63:N63">SUM(C61:C62)</f>
        <v>583368.6</v>
      </c>
      <c r="D63" s="425">
        <f t="shared" si="25"/>
        <v>14124</v>
      </c>
      <c r="E63" s="425">
        <f t="shared" si="25"/>
        <v>2722660.14</v>
      </c>
      <c r="F63" s="425">
        <f t="shared" si="25"/>
        <v>75108</v>
      </c>
      <c r="G63" s="425">
        <f>SUM(G61:G62)</f>
        <v>0</v>
      </c>
      <c r="H63" s="425">
        <f t="shared" si="25"/>
        <v>252583.75</v>
      </c>
      <c r="I63" s="425">
        <f t="shared" si="25"/>
        <v>171352</v>
      </c>
      <c r="J63" s="425">
        <f t="shared" si="25"/>
        <v>0</v>
      </c>
      <c r="K63" s="425">
        <f t="shared" si="25"/>
        <v>0</v>
      </c>
      <c r="L63" s="425">
        <f t="shared" si="25"/>
        <v>0</v>
      </c>
      <c r="M63" s="425">
        <f t="shared" si="25"/>
        <v>3120</v>
      </c>
      <c r="N63" s="425">
        <f t="shared" si="25"/>
        <v>0</v>
      </c>
      <c r="O63" s="426">
        <f>SUM(O61:O62)</f>
        <v>3822316.49</v>
      </c>
    </row>
    <row r="64" spans="1:15" s="116" customFormat="1" ht="24" thickBot="1">
      <c r="A64" s="437" t="s">
        <v>416</v>
      </c>
      <c r="B64" s="438"/>
      <c r="C64" s="335">
        <f aca="true" t="shared" si="26" ref="C64:N64">SUM(C61-C60)</f>
        <v>-142220.40000000002</v>
      </c>
      <c r="D64" s="335">
        <f t="shared" si="26"/>
        <v>-15876</v>
      </c>
      <c r="E64" s="335">
        <f t="shared" si="26"/>
        <v>-133635.85999999987</v>
      </c>
      <c r="F64" s="335">
        <f t="shared" si="26"/>
        <v>-43742</v>
      </c>
      <c r="G64" s="335">
        <f t="shared" si="26"/>
        <v>0</v>
      </c>
      <c r="H64" s="335">
        <f t="shared" si="26"/>
        <v>-52416.25</v>
      </c>
      <c r="I64" s="335">
        <f>SUM(I61-I60)</f>
        <v>-69316</v>
      </c>
      <c r="J64" s="335">
        <f t="shared" si="26"/>
        <v>0</v>
      </c>
      <c r="K64" s="335">
        <f t="shared" si="26"/>
        <v>0</v>
      </c>
      <c r="L64" s="335">
        <f t="shared" si="26"/>
        <v>0</v>
      </c>
      <c r="M64" s="335">
        <f t="shared" si="26"/>
        <v>-6880</v>
      </c>
      <c r="N64" s="335">
        <f t="shared" si="26"/>
        <v>0</v>
      </c>
      <c r="O64" s="430">
        <f t="shared" si="23"/>
        <v>-464086.5099999999</v>
      </c>
    </row>
    <row r="65" spans="1:15" ht="24" thickTop="1">
      <c r="A65" s="434" t="s">
        <v>43</v>
      </c>
      <c r="B65" s="434"/>
      <c r="C65" s="272">
        <f>185850+20000</f>
        <v>205850</v>
      </c>
      <c r="D65" s="272"/>
      <c r="E65" s="272">
        <f>35000</f>
        <v>35000</v>
      </c>
      <c r="F65" s="272"/>
      <c r="G65" s="272"/>
      <c r="H65" s="272">
        <f>1000000</f>
        <v>1000000</v>
      </c>
      <c r="I65" s="272"/>
      <c r="J65" s="272"/>
      <c r="K65" s="272"/>
      <c r="L65" s="272"/>
      <c r="M65" s="272"/>
      <c r="N65" s="272"/>
      <c r="O65" s="429">
        <f>SUM(C65:N65)</f>
        <v>1240850</v>
      </c>
    </row>
    <row r="66" spans="1:15" ht="12.75" customHeight="1">
      <c r="A66" s="433"/>
      <c r="B66" s="434" t="s">
        <v>312</v>
      </c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435"/>
    </row>
    <row r="67" spans="1:15" s="116" customFormat="1" ht="23.25">
      <c r="A67" s="411" t="s">
        <v>4</v>
      </c>
      <c r="B67" s="443"/>
      <c r="C67" s="322">
        <f aca="true" t="shared" si="27" ref="C67:N67">SUM(C65:C65)</f>
        <v>205850</v>
      </c>
      <c r="D67" s="322">
        <f t="shared" si="27"/>
        <v>0</v>
      </c>
      <c r="E67" s="322">
        <f t="shared" si="27"/>
        <v>35000</v>
      </c>
      <c r="F67" s="322">
        <f t="shared" si="27"/>
        <v>0</v>
      </c>
      <c r="G67" s="322">
        <f t="shared" si="27"/>
        <v>0</v>
      </c>
      <c r="H67" s="322">
        <f t="shared" si="27"/>
        <v>1000000</v>
      </c>
      <c r="I67" s="322">
        <f t="shared" si="27"/>
        <v>0</v>
      </c>
      <c r="J67" s="322">
        <f t="shared" si="27"/>
        <v>0</v>
      </c>
      <c r="K67" s="322">
        <f t="shared" si="27"/>
        <v>0</v>
      </c>
      <c r="L67" s="322">
        <f t="shared" si="27"/>
        <v>0</v>
      </c>
      <c r="M67" s="322">
        <f t="shared" si="27"/>
        <v>0</v>
      </c>
      <c r="N67" s="322">
        <f t="shared" si="27"/>
        <v>0</v>
      </c>
      <c r="O67" s="436">
        <f aca="true" t="shared" si="28" ref="O67:O73">SUM(C67:N67)</f>
        <v>1240850</v>
      </c>
    </row>
    <row r="68" spans="1:15" s="415" customFormat="1" ht="23.25">
      <c r="A68" s="413" t="s">
        <v>310</v>
      </c>
      <c r="B68" s="412"/>
      <c r="C68" s="414">
        <f>'[1]โอน'!C76</f>
        <v>2911</v>
      </c>
      <c r="D68" s="414">
        <f>'[1]โอน'!E76</f>
        <v>0</v>
      </c>
      <c r="E68" s="414">
        <f>'[1]โอน'!G76</f>
        <v>0</v>
      </c>
      <c r="F68" s="414">
        <f>'[1]โอน'!I76</f>
        <v>0</v>
      </c>
      <c r="G68" s="414">
        <f>'[1]โอน'!K76</f>
        <v>0</v>
      </c>
      <c r="H68" s="414">
        <f>'[1]โอน'!M76</f>
        <v>-48800</v>
      </c>
      <c r="I68" s="414">
        <f>'[1]โอน'!O76</f>
        <v>0</v>
      </c>
      <c r="J68" s="414">
        <f>'[1]โอน'!Q76</f>
        <v>0</v>
      </c>
      <c r="K68" s="414">
        <f>'[1]โอน'!S76</f>
        <v>0</v>
      </c>
      <c r="L68" s="414">
        <f>'[1]โอน'!T76</f>
        <v>0</v>
      </c>
      <c r="M68" s="414">
        <f>'[1]โอน'!U76</f>
        <v>0</v>
      </c>
      <c r="N68" s="414">
        <f>'[1]โอน'!Y76</f>
        <v>0</v>
      </c>
      <c r="O68" s="414">
        <f t="shared" si="28"/>
        <v>-45889</v>
      </c>
    </row>
    <row r="69" spans="1:15" s="116" customFormat="1" ht="23.25" hidden="1">
      <c r="A69" s="416" t="s">
        <v>311</v>
      </c>
      <c r="B69" s="427"/>
      <c r="C69" s="418">
        <v>0</v>
      </c>
      <c r="D69" s="418">
        <v>0</v>
      </c>
      <c r="E69" s="418">
        <v>0</v>
      </c>
      <c r="F69" s="418">
        <v>0</v>
      </c>
      <c r="G69" s="418">
        <v>0</v>
      </c>
      <c r="H69" s="418">
        <v>0</v>
      </c>
      <c r="I69" s="418">
        <v>0</v>
      </c>
      <c r="J69" s="418">
        <v>0</v>
      </c>
      <c r="K69" s="418">
        <v>0</v>
      </c>
      <c r="L69" s="418">
        <v>0</v>
      </c>
      <c r="M69" s="418"/>
      <c r="N69" s="418">
        <v>0</v>
      </c>
      <c r="O69" s="419">
        <f t="shared" si="28"/>
        <v>0</v>
      </c>
    </row>
    <row r="70" spans="1:15" s="116" customFormat="1" ht="24" thickBot="1">
      <c r="A70" s="420" t="s">
        <v>288</v>
      </c>
      <c r="B70" s="421"/>
      <c r="C70" s="257">
        <f aca="true" t="shared" si="29" ref="C70:N70">SUM(C67:C69)</f>
        <v>208761</v>
      </c>
      <c r="D70" s="257">
        <f t="shared" si="29"/>
        <v>0</v>
      </c>
      <c r="E70" s="257">
        <f t="shared" si="29"/>
        <v>35000</v>
      </c>
      <c r="F70" s="257">
        <f t="shared" si="29"/>
        <v>0</v>
      </c>
      <c r="G70" s="257">
        <f t="shared" si="29"/>
        <v>0</v>
      </c>
      <c r="H70" s="257">
        <f t="shared" si="29"/>
        <v>951200</v>
      </c>
      <c r="I70" s="257">
        <f t="shared" si="29"/>
        <v>0</v>
      </c>
      <c r="J70" s="257">
        <f t="shared" si="29"/>
        <v>0</v>
      </c>
      <c r="K70" s="257">
        <f t="shared" si="29"/>
        <v>0</v>
      </c>
      <c r="L70" s="257">
        <f t="shared" si="29"/>
        <v>0</v>
      </c>
      <c r="M70" s="257">
        <f t="shared" si="29"/>
        <v>0</v>
      </c>
      <c r="N70" s="257">
        <f t="shared" si="29"/>
        <v>0</v>
      </c>
      <c r="O70" s="422">
        <f t="shared" si="28"/>
        <v>1194961</v>
      </c>
    </row>
    <row r="71" spans="1:15" s="116" customFormat="1" ht="24" thickTop="1">
      <c r="A71" s="260" t="s">
        <v>413</v>
      </c>
      <c r="B71" s="424"/>
      <c r="C71" s="425">
        <v>85935.72</v>
      </c>
      <c r="D71" s="425"/>
      <c r="E71" s="425">
        <v>2654.56</v>
      </c>
      <c r="F71" s="425"/>
      <c r="G71" s="425"/>
      <c r="H71" s="425">
        <v>886600.07</v>
      </c>
      <c r="I71" s="425"/>
      <c r="J71" s="425"/>
      <c r="K71" s="425"/>
      <c r="L71" s="425"/>
      <c r="M71" s="425"/>
      <c r="N71" s="425"/>
      <c r="O71" s="426">
        <f t="shared" si="28"/>
        <v>975190.35</v>
      </c>
    </row>
    <row r="72" spans="1:15" s="116" customFormat="1" ht="24" thickBot="1">
      <c r="A72" s="437" t="s">
        <v>416</v>
      </c>
      <c r="B72" s="438"/>
      <c r="C72" s="335">
        <f aca="true" t="shared" si="30" ref="C72:N72">SUM(C71-C70)</f>
        <v>-122825.28</v>
      </c>
      <c r="D72" s="335">
        <f t="shared" si="30"/>
        <v>0</v>
      </c>
      <c r="E72" s="335">
        <f t="shared" si="30"/>
        <v>-32345.44</v>
      </c>
      <c r="F72" s="335">
        <f t="shared" si="30"/>
        <v>0</v>
      </c>
      <c r="G72" s="335">
        <f t="shared" si="30"/>
        <v>0</v>
      </c>
      <c r="H72" s="335">
        <f t="shared" si="30"/>
        <v>-64599.93000000005</v>
      </c>
      <c r="I72" s="335">
        <f t="shared" si="30"/>
        <v>0</v>
      </c>
      <c r="J72" s="335">
        <f t="shared" si="30"/>
        <v>0</v>
      </c>
      <c r="K72" s="335">
        <f t="shared" si="30"/>
        <v>0</v>
      </c>
      <c r="L72" s="335">
        <f t="shared" si="30"/>
        <v>0</v>
      </c>
      <c r="M72" s="335"/>
      <c r="N72" s="335">
        <f t="shared" si="30"/>
        <v>0</v>
      </c>
      <c r="O72" s="430">
        <f t="shared" si="28"/>
        <v>-219770.65000000005</v>
      </c>
    </row>
    <row r="73" spans="1:16" ht="24" thickTop="1">
      <c r="A73" s="434" t="s">
        <v>14</v>
      </c>
      <c r="B73" s="434"/>
      <c r="C73" s="272">
        <f>17500+30000+20000+5000+10300+38000+97000</f>
        <v>217800</v>
      </c>
      <c r="D73" s="272">
        <f>24000</f>
        <v>24000</v>
      </c>
      <c r="E73" s="272"/>
      <c r="F73" s="272"/>
      <c r="G73" s="272"/>
      <c r="H73" s="272">
        <f>36000+60000+51000+70000</f>
        <v>217000</v>
      </c>
      <c r="I73" s="272"/>
      <c r="J73" s="272"/>
      <c r="K73" s="272"/>
      <c r="L73" s="272"/>
      <c r="M73" s="272">
        <f>6000</f>
        <v>6000</v>
      </c>
      <c r="N73" s="272"/>
      <c r="O73" s="429">
        <f t="shared" si="28"/>
        <v>464800</v>
      </c>
      <c r="P73" s="254"/>
    </row>
    <row r="74" spans="1:16" ht="13.5" customHeight="1">
      <c r="A74" s="410"/>
      <c r="B74" s="409" t="s">
        <v>312</v>
      </c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435"/>
      <c r="P74" s="254"/>
    </row>
    <row r="75" spans="1:15" s="116" customFormat="1" ht="23.25">
      <c r="A75" s="411" t="s">
        <v>4</v>
      </c>
      <c r="B75" s="443"/>
      <c r="C75" s="322">
        <f aca="true" t="shared" si="31" ref="C75:N75">SUM(C73:C74)</f>
        <v>217800</v>
      </c>
      <c r="D75" s="322">
        <f t="shared" si="31"/>
        <v>24000</v>
      </c>
      <c r="E75" s="322">
        <f t="shared" si="31"/>
        <v>0</v>
      </c>
      <c r="F75" s="322">
        <f t="shared" si="31"/>
        <v>0</v>
      </c>
      <c r="G75" s="322">
        <f t="shared" si="31"/>
        <v>0</v>
      </c>
      <c r="H75" s="322">
        <f t="shared" si="31"/>
        <v>217000</v>
      </c>
      <c r="I75" s="322">
        <f t="shared" si="31"/>
        <v>0</v>
      </c>
      <c r="J75" s="322">
        <f t="shared" si="31"/>
        <v>0</v>
      </c>
      <c r="K75" s="322">
        <f t="shared" si="31"/>
        <v>0</v>
      </c>
      <c r="L75" s="322">
        <f t="shared" si="31"/>
        <v>0</v>
      </c>
      <c r="M75" s="322">
        <f t="shared" si="31"/>
        <v>6000</v>
      </c>
      <c r="N75" s="322">
        <f t="shared" si="31"/>
        <v>0</v>
      </c>
      <c r="O75" s="436">
        <f aca="true" t="shared" si="32" ref="O75:O80">SUM(C75:N75)</f>
        <v>464800</v>
      </c>
    </row>
    <row r="76" spans="1:15" s="116" customFormat="1" ht="23.25">
      <c r="A76" s="413" t="s">
        <v>310</v>
      </c>
      <c r="B76" s="412"/>
      <c r="C76" s="414">
        <f>'[1]โอน'!C84</f>
        <v>0</v>
      </c>
      <c r="D76" s="414">
        <f>'[1]โอน'!E84</f>
        <v>0</v>
      </c>
      <c r="E76" s="414">
        <f>'[1]โอน'!G84</f>
        <v>0</v>
      </c>
      <c r="F76" s="414">
        <f>'[1]โอน'!I84</f>
        <v>0</v>
      </c>
      <c r="G76" s="414">
        <f>'[1]โอน'!K84</f>
        <v>0</v>
      </c>
      <c r="H76" s="414">
        <f>'[1]โอน'!M84</f>
        <v>0</v>
      </c>
      <c r="I76" s="414">
        <f>'[1]โอน'!O84</f>
        <v>0</v>
      </c>
      <c r="J76" s="414">
        <f>'[1]โอน'!Q84</f>
        <v>0</v>
      </c>
      <c r="K76" s="414">
        <f>'[1]โอน'!S84</f>
        <v>0</v>
      </c>
      <c r="L76" s="414">
        <f>'[1]โอน'!T84</f>
        <v>0</v>
      </c>
      <c r="M76" s="414">
        <f>'[1]โอน'!U84</f>
        <v>0</v>
      </c>
      <c r="N76" s="414">
        <f>'[1]โอน'!Y84</f>
        <v>0</v>
      </c>
      <c r="O76" s="414">
        <f t="shared" si="32"/>
        <v>0</v>
      </c>
    </row>
    <row r="77" spans="1:15" s="256" customFormat="1" ht="23.25" hidden="1">
      <c r="A77" s="416" t="s">
        <v>311</v>
      </c>
      <c r="B77" s="442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9">
        <f t="shared" si="32"/>
        <v>0</v>
      </c>
    </row>
    <row r="78" spans="1:15" s="116" customFormat="1" ht="24" thickBot="1">
      <c r="A78" s="420" t="s">
        <v>288</v>
      </c>
      <c r="B78" s="421"/>
      <c r="C78" s="257">
        <f aca="true" t="shared" si="33" ref="C78:N78">SUM(C75:C77)</f>
        <v>217800</v>
      </c>
      <c r="D78" s="257">
        <f t="shared" si="33"/>
        <v>24000</v>
      </c>
      <c r="E78" s="257">
        <f t="shared" si="33"/>
        <v>0</v>
      </c>
      <c r="F78" s="257">
        <f t="shared" si="33"/>
        <v>0</v>
      </c>
      <c r="G78" s="257">
        <f t="shared" si="33"/>
        <v>0</v>
      </c>
      <c r="H78" s="257">
        <f t="shared" si="33"/>
        <v>217000</v>
      </c>
      <c r="I78" s="257">
        <f t="shared" si="33"/>
        <v>0</v>
      </c>
      <c r="J78" s="257">
        <f t="shared" si="33"/>
        <v>0</v>
      </c>
      <c r="K78" s="257">
        <f t="shared" si="33"/>
        <v>0</v>
      </c>
      <c r="L78" s="257">
        <f t="shared" si="33"/>
        <v>0</v>
      </c>
      <c r="M78" s="257">
        <f t="shared" si="33"/>
        <v>6000</v>
      </c>
      <c r="N78" s="257">
        <f t="shared" si="33"/>
        <v>0</v>
      </c>
      <c r="O78" s="422">
        <f t="shared" si="32"/>
        <v>464800</v>
      </c>
    </row>
    <row r="79" spans="1:15" s="116" customFormat="1" ht="24" thickTop="1">
      <c r="A79" s="260" t="s">
        <v>413</v>
      </c>
      <c r="B79" s="424"/>
      <c r="C79" s="425">
        <v>181450</v>
      </c>
      <c r="D79" s="425">
        <v>24000</v>
      </c>
      <c r="E79" s="425"/>
      <c r="F79" s="425"/>
      <c r="G79" s="425"/>
      <c r="H79" s="425">
        <v>124000</v>
      </c>
      <c r="I79" s="425"/>
      <c r="J79" s="425"/>
      <c r="K79" s="425"/>
      <c r="L79" s="425"/>
      <c r="M79" s="425">
        <v>3000</v>
      </c>
      <c r="N79" s="425"/>
      <c r="O79" s="426">
        <f t="shared" si="32"/>
        <v>332450</v>
      </c>
    </row>
    <row r="80" spans="1:15" s="116" customFormat="1" ht="23.25">
      <c r="A80" s="261" t="s">
        <v>414</v>
      </c>
      <c r="B80" s="427"/>
      <c r="C80" s="428">
        <v>39770</v>
      </c>
      <c r="D80" s="428"/>
      <c r="E80" s="428">
        <v>123500</v>
      </c>
      <c r="F80" s="428"/>
      <c r="G80" s="428"/>
      <c r="H80" s="428"/>
      <c r="I80" s="428"/>
      <c r="J80" s="428"/>
      <c r="K80" s="428"/>
      <c r="L80" s="428"/>
      <c r="M80" s="428"/>
      <c r="N80" s="428"/>
      <c r="O80" s="429">
        <f t="shared" si="32"/>
        <v>163270</v>
      </c>
    </row>
    <row r="81" spans="1:15" s="116" customFormat="1" ht="23.25">
      <c r="A81" s="260" t="s">
        <v>415</v>
      </c>
      <c r="B81" s="424"/>
      <c r="C81" s="425">
        <f>SUM(C79:C80)</f>
        <v>221220</v>
      </c>
      <c r="D81" s="425">
        <f aca="true" t="shared" si="34" ref="D81:N81">SUM(D79:D80)</f>
        <v>24000</v>
      </c>
      <c r="E81" s="425">
        <f t="shared" si="34"/>
        <v>123500</v>
      </c>
      <c r="F81" s="425">
        <f t="shared" si="34"/>
        <v>0</v>
      </c>
      <c r="G81" s="425">
        <f t="shared" si="34"/>
        <v>0</v>
      </c>
      <c r="H81" s="425">
        <f t="shared" si="34"/>
        <v>124000</v>
      </c>
      <c r="I81" s="425">
        <f t="shared" si="34"/>
        <v>0</v>
      </c>
      <c r="J81" s="425">
        <f t="shared" si="34"/>
        <v>0</v>
      </c>
      <c r="K81" s="425">
        <f t="shared" si="34"/>
        <v>0</v>
      </c>
      <c r="L81" s="425">
        <f t="shared" si="34"/>
        <v>0</v>
      </c>
      <c r="M81" s="425">
        <f t="shared" si="34"/>
        <v>3000</v>
      </c>
      <c r="N81" s="425">
        <f t="shared" si="34"/>
        <v>0</v>
      </c>
      <c r="O81" s="426">
        <f>SUM(O79:O80)</f>
        <v>495720</v>
      </c>
    </row>
    <row r="82" spans="1:15" s="116" customFormat="1" ht="24" thickBot="1">
      <c r="A82" s="437" t="s">
        <v>416</v>
      </c>
      <c r="B82" s="438"/>
      <c r="C82" s="335">
        <f>SUM(C79-C78)</f>
        <v>-36350</v>
      </c>
      <c r="D82" s="335">
        <f aca="true" t="shared" si="35" ref="D82:N82">SUM(D79-D78)</f>
        <v>0</v>
      </c>
      <c r="E82" s="335">
        <f t="shared" si="35"/>
        <v>0</v>
      </c>
      <c r="F82" s="335">
        <f t="shared" si="35"/>
        <v>0</v>
      </c>
      <c r="G82" s="335">
        <f t="shared" si="35"/>
        <v>0</v>
      </c>
      <c r="H82" s="335">
        <f t="shared" si="35"/>
        <v>-93000</v>
      </c>
      <c r="I82" s="335">
        <f t="shared" si="35"/>
        <v>0</v>
      </c>
      <c r="J82" s="335">
        <f t="shared" si="35"/>
        <v>0</v>
      </c>
      <c r="K82" s="335">
        <f t="shared" si="35"/>
        <v>0</v>
      </c>
      <c r="L82" s="335">
        <f t="shared" si="35"/>
        <v>0</v>
      </c>
      <c r="M82" s="335">
        <f t="shared" si="35"/>
        <v>-3000</v>
      </c>
      <c r="N82" s="335">
        <f t="shared" si="35"/>
        <v>0</v>
      </c>
      <c r="O82" s="430">
        <f>SUM(C82:N82)</f>
        <v>-132350</v>
      </c>
    </row>
    <row r="83" spans="1:16" ht="24" thickTop="1">
      <c r="A83" s="434" t="s">
        <v>302</v>
      </c>
      <c r="B83" s="434"/>
      <c r="C83" s="272"/>
      <c r="D83" s="272"/>
      <c r="E83" s="272"/>
      <c r="F83" s="272"/>
      <c r="G83" s="272"/>
      <c r="H83" s="272">
        <f>1307900</f>
        <v>1307900</v>
      </c>
      <c r="I83" s="272">
        <f>2241000+426700</f>
        <v>2667700</v>
      </c>
      <c r="J83" s="272"/>
      <c r="K83" s="272"/>
      <c r="L83" s="272"/>
      <c r="M83" s="272"/>
      <c r="N83" s="272"/>
      <c r="O83" s="429">
        <f>SUM(C83:N83)</f>
        <v>3975600</v>
      </c>
      <c r="P83" s="254"/>
    </row>
    <row r="84" spans="1:16" ht="13.5" customHeight="1">
      <c r="A84" s="409"/>
      <c r="B84" s="409" t="s">
        <v>312</v>
      </c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410"/>
      <c r="P84" s="254"/>
    </row>
    <row r="85" spans="1:15" s="116" customFormat="1" ht="23.25">
      <c r="A85" s="411" t="s">
        <v>4</v>
      </c>
      <c r="B85" s="412"/>
      <c r="C85" s="322">
        <f aca="true" t="shared" si="36" ref="C85:N85">SUM(C83:C84)</f>
        <v>0</v>
      </c>
      <c r="D85" s="322">
        <f t="shared" si="36"/>
        <v>0</v>
      </c>
      <c r="E85" s="322">
        <f t="shared" si="36"/>
        <v>0</v>
      </c>
      <c r="F85" s="322">
        <f t="shared" si="36"/>
        <v>0</v>
      </c>
      <c r="G85" s="322">
        <f t="shared" si="36"/>
        <v>0</v>
      </c>
      <c r="H85" s="322">
        <f t="shared" si="36"/>
        <v>1307900</v>
      </c>
      <c r="I85" s="322">
        <f t="shared" si="36"/>
        <v>2667700</v>
      </c>
      <c r="J85" s="322">
        <f t="shared" si="36"/>
        <v>0</v>
      </c>
      <c r="K85" s="322">
        <f>SUM(K83:K84)</f>
        <v>0</v>
      </c>
      <c r="L85" s="322">
        <f>SUM(L83:L84)</f>
        <v>0</v>
      </c>
      <c r="M85" s="322">
        <f>SUM(M83:M84)</f>
        <v>0</v>
      </c>
      <c r="N85" s="322">
        <f t="shared" si="36"/>
        <v>0</v>
      </c>
      <c r="O85" s="436">
        <f>SUM(C85:N85)</f>
        <v>3975600</v>
      </c>
    </row>
    <row r="86" spans="1:15" s="116" customFormat="1" ht="23.25">
      <c r="A86" s="413" t="s">
        <v>310</v>
      </c>
      <c r="B86" s="412"/>
      <c r="C86" s="414">
        <f>'[1]โอน'!C91</f>
        <v>0</v>
      </c>
      <c r="D86" s="414">
        <f>'[1]โอน'!E91</f>
        <v>0</v>
      </c>
      <c r="E86" s="414">
        <f>'[1]โอน'!G91</f>
        <v>0</v>
      </c>
      <c r="F86" s="414">
        <f>'[1]โอน'!I91</f>
        <v>0</v>
      </c>
      <c r="G86" s="414">
        <f>'[1]โอน'!K91</f>
        <v>0</v>
      </c>
      <c r="H86" s="414">
        <f>'[1]โอน'!M91</f>
        <v>0</v>
      </c>
      <c r="I86" s="414" t="e">
        <f>'[1]โอน'!O91</f>
        <v>#REF!</v>
      </c>
      <c r="J86" s="414">
        <f>'[1]โอน'!Q91</f>
        <v>0</v>
      </c>
      <c r="K86" s="414">
        <f>'[1]โอน'!S91</f>
        <v>0</v>
      </c>
      <c r="L86" s="414">
        <f>'[1]โอน'!T91</f>
        <v>0</v>
      </c>
      <c r="M86" s="414">
        <f>'[1]โอน'!U91</f>
        <v>0</v>
      </c>
      <c r="N86" s="414">
        <f>'[1]โอน'!Y91</f>
        <v>0</v>
      </c>
      <c r="O86" s="414" t="e">
        <f>SUM(C86:N86)</f>
        <v>#REF!</v>
      </c>
    </row>
    <row r="87" spans="1:15" s="256" customFormat="1" ht="23.25" hidden="1">
      <c r="A87" s="416" t="s">
        <v>311</v>
      </c>
      <c r="B87" s="442"/>
      <c r="C87" s="418">
        <v>0</v>
      </c>
      <c r="D87" s="418">
        <v>0</v>
      </c>
      <c r="E87" s="418">
        <v>0</v>
      </c>
      <c r="F87" s="418">
        <v>0</v>
      </c>
      <c r="G87" s="418">
        <v>0</v>
      </c>
      <c r="H87" s="418">
        <v>0</v>
      </c>
      <c r="I87" s="418">
        <v>0</v>
      </c>
      <c r="J87" s="418">
        <v>0</v>
      </c>
      <c r="K87" s="418">
        <v>0</v>
      </c>
      <c r="L87" s="418">
        <v>0</v>
      </c>
      <c r="M87" s="418"/>
      <c r="N87" s="418">
        <v>0</v>
      </c>
      <c r="O87" s="419">
        <f>SUM(C87:N87)</f>
        <v>0</v>
      </c>
    </row>
    <row r="88" spans="1:15" s="116" customFormat="1" ht="24" thickBot="1">
      <c r="A88" s="420" t="s">
        <v>288</v>
      </c>
      <c r="B88" s="421"/>
      <c r="C88" s="257">
        <f aca="true" t="shared" si="37" ref="C88:O88">SUM(C85:C87)</f>
        <v>0</v>
      </c>
      <c r="D88" s="257">
        <f t="shared" si="37"/>
        <v>0</v>
      </c>
      <c r="E88" s="257">
        <f t="shared" si="37"/>
        <v>0</v>
      </c>
      <c r="F88" s="257">
        <f t="shared" si="37"/>
        <v>0</v>
      </c>
      <c r="G88" s="257">
        <f t="shared" si="37"/>
        <v>0</v>
      </c>
      <c r="H88" s="257">
        <f t="shared" si="37"/>
        <v>1307900</v>
      </c>
      <c r="I88" s="257" t="e">
        <f t="shared" si="37"/>
        <v>#REF!</v>
      </c>
      <c r="J88" s="257">
        <f t="shared" si="37"/>
        <v>0</v>
      </c>
      <c r="K88" s="257">
        <f t="shared" si="37"/>
        <v>0</v>
      </c>
      <c r="L88" s="257">
        <f t="shared" si="37"/>
        <v>0</v>
      </c>
      <c r="M88" s="257">
        <f t="shared" si="37"/>
        <v>0</v>
      </c>
      <c r="N88" s="257">
        <f t="shared" si="37"/>
        <v>0</v>
      </c>
      <c r="O88" s="257" t="e">
        <f t="shared" si="37"/>
        <v>#REF!</v>
      </c>
    </row>
    <row r="89" spans="1:15" s="116" customFormat="1" ht="24" thickTop="1">
      <c r="A89" s="260" t="s">
        <v>413</v>
      </c>
      <c r="B89" s="424"/>
      <c r="C89" s="425"/>
      <c r="D89" s="425"/>
      <c r="E89" s="425"/>
      <c r="F89" s="425"/>
      <c r="G89" s="425"/>
      <c r="H89" s="425">
        <v>1213036</v>
      </c>
      <c r="I89" s="425">
        <v>2666000</v>
      </c>
      <c r="J89" s="425"/>
      <c r="K89" s="425"/>
      <c r="L89" s="425"/>
      <c r="M89" s="425"/>
      <c r="N89" s="425"/>
      <c r="O89" s="426">
        <f>SUM(C89:N89)</f>
        <v>3879036</v>
      </c>
    </row>
    <row r="90" spans="1:15" s="116" customFormat="1" ht="23.25" hidden="1">
      <c r="A90" s="261" t="s">
        <v>414</v>
      </c>
      <c r="B90" s="427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9">
        <f>SUM(E90:N90)</f>
        <v>0</v>
      </c>
    </row>
    <row r="91" spans="1:15" s="116" customFormat="1" ht="23.25" hidden="1">
      <c r="A91" s="260" t="s">
        <v>415</v>
      </c>
      <c r="B91" s="424"/>
      <c r="C91" s="425">
        <f aca="true" t="shared" si="38" ref="C91:O91">SUM(C89:C90)</f>
        <v>0</v>
      </c>
      <c r="D91" s="425">
        <f t="shared" si="38"/>
        <v>0</v>
      </c>
      <c r="E91" s="425">
        <f t="shared" si="38"/>
        <v>0</v>
      </c>
      <c r="F91" s="425">
        <f t="shared" si="38"/>
        <v>0</v>
      </c>
      <c r="G91" s="425">
        <f t="shared" si="38"/>
        <v>0</v>
      </c>
      <c r="H91" s="425">
        <f t="shared" si="38"/>
        <v>1213036</v>
      </c>
      <c r="I91" s="425">
        <f t="shared" si="38"/>
        <v>2666000</v>
      </c>
      <c r="J91" s="425">
        <f t="shared" si="38"/>
        <v>0</v>
      </c>
      <c r="K91" s="425">
        <f t="shared" si="38"/>
        <v>0</v>
      </c>
      <c r="L91" s="425">
        <f t="shared" si="38"/>
        <v>0</v>
      </c>
      <c r="M91" s="425"/>
      <c r="N91" s="425">
        <f t="shared" si="38"/>
        <v>0</v>
      </c>
      <c r="O91" s="426">
        <f t="shared" si="38"/>
        <v>3879036</v>
      </c>
    </row>
    <row r="92" spans="1:15" s="116" customFormat="1" ht="24" thickBot="1">
      <c r="A92" s="437" t="s">
        <v>416</v>
      </c>
      <c r="B92" s="438"/>
      <c r="C92" s="335">
        <f>SUM(C89-C88)</f>
        <v>0</v>
      </c>
      <c r="D92" s="335">
        <f aca="true" t="shared" si="39" ref="D92:N92">SUM(D89-D88)</f>
        <v>0</v>
      </c>
      <c r="E92" s="335">
        <f t="shared" si="39"/>
        <v>0</v>
      </c>
      <c r="F92" s="335">
        <f t="shared" si="39"/>
        <v>0</v>
      </c>
      <c r="G92" s="335">
        <f t="shared" si="39"/>
        <v>0</v>
      </c>
      <c r="H92" s="335">
        <f t="shared" si="39"/>
        <v>-94864</v>
      </c>
      <c r="I92" s="335" t="e">
        <f t="shared" si="39"/>
        <v>#REF!</v>
      </c>
      <c r="J92" s="335">
        <f t="shared" si="39"/>
        <v>0</v>
      </c>
      <c r="K92" s="335">
        <f t="shared" si="39"/>
        <v>0</v>
      </c>
      <c r="L92" s="335">
        <f t="shared" si="39"/>
        <v>0</v>
      </c>
      <c r="M92" s="335">
        <f t="shared" si="39"/>
        <v>0</v>
      </c>
      <c r="N92" s="335">
        <f t="shared" si="39"/>
        <v>0</v>
      </c>
      <c r="O92" s="430" t="e">
        <f>SUM(C92:N92)</f>
        <v>#REF!</v>
      </c>
    </row>
    <row r="93" spans="1:16" ht="24" thickTop="1">
      <c r="A93" s="434" t="s">
        <v>16</v>
      </c>
      <c r="B93" s="434"/>
      <c r="C93" s="272">
        <f>10000+100000+144000</f>
        <v>254000</v>
      </c>
      <c r="D93" s="272">
        <f>59250</f>
        <v>59250</v>
      </c>
      <c r="E93" s="272">
        <f>609600+754000+270400+228800+300800</f>
        <v>2163600</v>
      </c>
      <c r="F93" s="272">
        <f>15000+30000+100000+30000</f>
        <v>175000</v>
      </c>
      <c r="G93" s="272">
        <f>90000</f>
        <v>90000</v>
      </c>
      <c r="H93" s="272"/>
      <c r="I93" s="272"/>
      <c r="J93" s="272"/>
      <c r="K93" s="272">
        <f>250000</f>
        <v>250000</v>
      </c>
      <c r="L93" s="272"/>
      <c r="M93" s="272"/>
      <c r="N93" s="272"/>
      <c r="O93" s="426">
        <f>SUM(C93:N93)</f>
        <v>2991850</v>
      </c>
      <c r="P93" s="254"/>
    </row>
    <row r="94" spans="1:16" ht="12.75" customHeight="1">
      <c r="A94" s="409"/>
      <c r="B94" s="409" t="s">
        <v>312</v>
      </c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410"/>
      <c r="P94" s="254"/>
    </row>
    <row r="95" spans="1:15" s="116" customFormat="1" ht="23.25">
      <c r="A95" s="411" t="s">
        <v>4</v>
      </c>
      <c r="B95" s="443"/>
      <c r="C95" s="322">
        <f aca="true" t="shared" si="40" ref="C95:N95">SUM(C93:C94)</f>
        <v>254000</v>
      </c>
      <c r="D95" s="322">
        <f t="shared" si="40"/>
        <v>59250</v>
      </c>
      <c r="E95" s="322">
        <f t="shared" si="40"/>
        <v>2163600</v>
      </c>
      <c r="F95" s="322">
        <f t="shared" si="40"/>
        <v>175000</v>
      </c>
      <c r="G95" s="322">
        <f t="shared" si="40"/>
        <v>90000</v>
      </c>
      <c r="H95" s="322">
        <f t="shared" si="40"/>
        <v>0</v>
      </c>
      <c r="I95" s="322">
        <f t="shared" si="40"/>
        <v>0</v>
      </c>
      <c r="J95" s="322">
        <f t="shared" si="40"/>
        <v>0</v>
      </c>
      <c r="K95" s="322">
        <f t="shared" si="40"/>
        <v>250000</v>
      </c>
      <c r="L95" s="322">
        <f t="shared" si="40"/>
        <v>0</v>
      </c>
      <c r="M95" s="322">
        <f t="shared" si="40"/>
        <v>0</v>
      </c>
      <c r="N95" s="322">
        <f t="shared" si="40"/>
        <v>0</v>
      </c>
      <c r="O95" s="436">
        <f>SUM(C95:N95)</f>
        <v>2991850</v>
      </c>
    </row>
    <row r="96" spans="1:15" s="415" customFormat="1" ht="23.25">
      <c r="A96" s="413" t="s">
        <v>310</v>
      </c>
      <c r="B96" s="412"/>
      <c r="C96" s="414">
        <f>'[1]โอน'!C99</f>
        <v>-95000</v>
      </c>
      <c r="D96" s="414">
        <f>'[1]โอน'!E99</f>
        <v>0</v>
      </c>
      <c r="E96" s="414">
        <f>'[1]โอน'!G99</f>
        <v>0</v>
      </c>
      <c r="F96" s="414">
        <f>'[1]โอน'!I99</f>
        <v>-5000</v>
      </c>
      <c r="G96" s="414">
        <f>'[1]โอน'!K99</f>
        <v>0</v>
      </c>
      <c r="H96" s="414">
        <f>'[1]โอน'!M99</f>
        <v>0</v>
      </c>
      <c r="I96" s="414">
        <f>'[1]โอน'!O99</f>
        <v>0</v>
      </c>
      <c r="J96" s="414">
        <f>'[1]โอน'!Q99</f>
        <v>0</v>
      </c>
      <c r="K96" s="414">
        <f>'[1]โอน'!S99</f>
        <v>-250000</v>
      </c>
      <c r="L96" s="414">
        <f>'[1]โอน'!T99</f>
        <v>0</v>
      </c>
      <c r="M96" s="414">
        <f>'[1]โอน'!U99</f>
        <v>0</v>
      </c>
      <c r="N96" s="414">
        <f>'[1]โอน'!Y99</f>
        <v>0</v>
      </c>
      <c r="O96" s="414">
        <f>SUM(C96:N96)</f>
        <v>-350000</v>
      </c>
    </row>
    <row r="97" spans="1:15" s="256" customFormat="1" ht="23.25" hidden="1">
      <c r="A97" s="416" t="s">
        <v>311</v>
      </c>
      <c r="B97" s="442"/>
      <c r="C97" s="418">
        <v>0</v>
      </c>
      <c r="D97" s="418">
        <v>0</v>
      </c>
      <c r="E97" s="418">
        <v>0</v>
      </c>
      <c r="F97" s="418">
        <v>0</v>
      </c>
      <c r="G97" s="418">
        <v>0</v>
      </c>
      <c r="H97" s="418">
        <v>0</v>
      </c>
      <c r="I97" s="418">
        <v>0</v>
      </c>
      <c r="J97" s="418">
        <v>0</v>
      </c>
      <c r="K97" s="418">
        <v>0</v>
      </c>
      <c r="L97" s="418">
        <v>0</v>
      </c>
      <c r="M97" s="418"/>
      <c r="N97" s="418">
        <v>0</v>
      </c>
      <c r="O97" s="419">
        <f>SUM(C97:N97)</f>
        <v>0</v>
      </c>
    </row>
    <row r="98" spans="1:15" s="116" customFormat="1" ht="24" thickBot="1">
      <c r="A98" s="420" t="s">
        <v>288</v>
      </c>
      <c r="B98" s="421"/>
      <c r="C98" s="257">
        <f aca="true" t="shared" si="41" ref="C98:O98">SUM(C95:C97)</f>
        <v>159000</v>
      </c>
      <c r="D98" s="257">
        <f t="shared" si="41"/>
        <v>59250</v>
      </c>
      <c r="E98" s="257">
        <f t="shared" si="41"/>
        <v>2163600</v>
      </c>
      <c r="F98" s="257">
        <f t="shared" si="41"/>
        <v>170000</v>
      </c>
      <c r="G98" s="257">
        <f t="shared" si="41"/>
        <v>90000</v>
      </c>
      <c r="H98" s="257">
        <f t="shared" si="41"/>
        <v>0</v>
      </c>
      <c r="I98" s="257">
        <f t="shared" si="41"/>
        <v>0</v>
      </c>
      <c r="J98" s="257">
        <f t="shared" si="41"/>
        <v>0</v>
      </c>
      <c r="K98" s="257">
        <f t="shared" si="41"/>
        <v>0</v>
      </c>
      <c r="L98" s="257">
        <f t="shared" si="41"/>
        <v>0</v>
      </c>
      <c r="M98" s="257">
        <f t="shared" si="41"/>
        <v>0</v>
      </c>
      <c r="N98" s="257">
        <f t="shared" si="41"/>
        <v>0</v>
      </c>
      <c r="O98" s="257">
        <f t="shared" si="41"/>
        <v>2641850</v>
      </c>
    </row>
    <row r="99" spans="1:15" s="116" customFormat="1" ht="24" thickTop="1">
      <c r="A99" s="260" t="s">
        <v>413</v>
      </c>
      <c r="B99" s="424"/>
      <c r="C99" s="425">
        <v>117000</v>
      </c>
      <c r="D99" s="425">
        <v>59250</v>
      </c>
      <c r="E99" s="425">
        <v>2163600</v>
      </c>
      <c r="F99" s="425">
        <v>170000</v>
      </c>
      <c r="G99" s="425">
        <v>90000</v>
      </c>
      <c r="H99" s="425"/>
      <c r="I99" s="425"/>
      <c r="J99" s="425"/>
      <c r="K99" s="425"/>
      <c r="L99" s="425"/>
      <c r="M99" s="425"/>
      <c r="N99" s="425"/>
      <c r="O99" s="426">
        <f>SUM(C99:N99)</f>
        <v>2599850</v>
      </c>
    </row>
    <row r="100" spans="1:15" s="116" customFormat="1" ht="23.25">
      <c r="A100" s="261" t="s">
        <v>414</v>
      </c>
      <c r="B100" s="427"/>
      <c r="C100" s="428">
        <v>20000</v>
      </c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29">
        <f>SUM(C100:N100)</f>
        <v>20000</v>
      </c>
    </row>
    <row r="101" spans="1:15" s="116" customFormat="1" ht="23.25">
      <c r="A101" s="411" t="s">
        <v>415</v>
      </c>
      <c r="B101" s="412"/>
      <c r="C101" s="322">
        <f>SUM(C99:C100)</f>
        <v>137000</v>
      </c>
      <c r="D101" s="322">
        <f aca="true" t="shared" si="42" ref="D101:N101">SUM(D99:D100)</f>
        <v>59250</v>
      </c>
      <c r="E101" s="322">
        <f t="shared" si="42"/>
        <v>2163600</v>
      </c>
      <c r="F101" s="322">
        <f t="shared" si="42"/>
        <v>170000</v>
      </c>
      <c r="G101" s="322">
        <f t="shared" si="42"/>
        <v>90000</v>
      </c>
      <c r="H101" s="322">
        <f t="shared" si="42"/>
        <v>0</v>
      </c>
      <c r="I101" s="322">
        <f t="shared" si="42"/>
        <v>0</v>
      </c>
      <c r="J101" s="322">
        <f t="shared" si="42"/>
        <v>0</v>
      </c>
      <c r="K101" s="322">
        <f t="shared" si="42"/>
        <v>0</v>
      </c>
      <c r="L101" s="322">
        <f t="shared" si="42"/>
        <v>0</v>
      </c>
      <c r="M101" s="322">
        <f t="shared" si="42"/>
        <v>0</v>
      </c>
      <c r="N101" s="322">
        <f t="shared" si="42"/>
        <v>0</v>
      </c>
      <c r="O101" s="436">
        <f>SUM(O99:O100)</f>
        <v>2619850</v>
      </c>
    </row>
    <row r="102" spans="1:15" s="116" customFormat="1" ht="24" thickBot="1">
      <c r="A102" s="437" t="s">
        <v>416</v>
      </c>
      <c r="B102" s="438"/>
      <c r="C102" s="335">
        <f aca="true" t="shared" si="43" ref="C102:N102">SUM(C99-C98)</f>
        <v>-42000</v>
      </c>
      <c r="D102" s="335">
        <f t="shared" si="43"/>
        <v>0</v>
      </c>
      <c r="E102" s="335">
        <f t="shared" si="43"/>
        <v>0</v>
      </c>
      <c r="F102" s="335">
        <f t="shared" si="43"/>
        <v>0</v>
      </c>
      <c r="G102" s="335">
        <f t="shared" si="43"/>
        <v>0</v>
      </c>
      <c r="H102" s="335">
        <f t="shared" si="43"/>
        <v>0</v>
      </c>
      <c r="I102" s="335">
        <f t="shared" si="43"/>
        <v>0</v>
      </c>
      <c r="J102" s="335">
        <f t="shared" si="43"/>
        <v>0</v>
      </c>
      <c r="K102" s="335">
        <f t="shared" si="43"/>
        <v>0</v>
      </c>
      <c r="L102" s="335">
        <f t="shared" si="43"/>
        <v>0</v>
      </c>
      <c r="M102" s="335">
        <f t="shared" si="43"/>
        <v>0</v>
      </c>
      <c r="N102" s="335">
        <f t="shared" si="43"/>
        <v>0</v>
      </c>
      <c r="O102" s="430">
        <f>SUM(C102:N102)</f>
        <v>-42000</v>
      </c>
    </row>
    <row r="103" spans="1:15" s="116" customFormat="1" ht="24" thickTop="1">
      <c r="A103" s="434" t="s">
        <v>100</v>
      </c>
      <c r="B103" s="434"/>
      <c r="C103" s="272">
        <f>3000</f>
        <v>3000</v>
      </c>
      <c r="D103" s="272"/>
      <c r="E103" s="272"/>
      <c r="F103" s="272"/>
      <c r="G103" s="272"/>
      <c r="H103" s="272"/>
      <c r="I103" s="272"/>
      <c r="J103" s="272"/>
      <c r="K103" s="272">
        <f>3900000+468000+96000</f>
        <v>4464000</v>
      </c>
      <c r="L103" s="272"/>
      <c r="M103" s="272"/>
      <c r="N103" s="272"/>
      <c r="O103" s="426">
        <f>SUM(C103:N103)</f>
        <v>4467000</v>
      </c>
    </row>
    <row r="104" spans="1:15" s="116" customFormat="1" ht="14.25" customHeight="1">
      <c r="A104" s="409"/>
      <c r="B104" s="409" t="s">
        <v>312</v>
      </c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410"/>
    </row>
    <row r="105" spans="1:15" s="116" customFormat="1" ht="23.25">
      <c r="A105" s="259" t="s">
        <v>4</v>
      </c>
      <c r="B105" s="443"/>
      <c r="C105" s="445">
        <f aca="true" t="shared" si="44" ref="C105:M105">SUM(C103:C104)</f>
        <v>3000</v>
      </c>
      <c r="D105" s="445">
        <f t="shared" si="44"/>
        <v>0</v>
      </c>
      <c r="E105" s="445">
        <f t="shared" si="44"/>
        <v>0</v>
      </c>
      <c r="F105" s="445">
        <f t="shared" si="44"/>
        <v>0</v>
      </c>
      <c r="G105" s="445">
        <f t="shared" si="44"/>
        <v>0</v>
      </c>
      <c r="H105" s="445">
        <f t="shared" si="44"/>
        <v>0</v>
      </c>
      <c r="I105" s="445">
        <f t="shared" si="44"/>
        <v>0</v>
      </c>
      <c r="J105" s="445">
        <f t="shared" si="44"/>
        <v>0</v>
      </c>
      <c r="K105" s="445">
        <f t="shared" si="44"/>
        <v>4464000</v>
      </c>
      <c r="L105" s="445">
        <f t="shared" si="44"/>
        <v>0</v>
      </c>
      <c r="M105" s="445">
        <f t="shared" si="44"/>
        <v>0</v>
      </c>
      <c r="N105" s="445">
        <f>SUM(N103:N104)</f>
        <v>0</v>
      </c>
      <c r="O105" s="446">
        <f>SUM(C105:N105)</f>
        <v>4467000</v>
      </c>
    </row>
    <row r="106" spans="1:15" s="116" customFormat="1" ht="23.25">
      <c r="A106" s="413" t="s">
        <v>310</v>
      </c>
      <c r="B106" s="412"/>
      <c r="C106" s="414">
        <f>'[1]โอน'!C105</f>
        <v>0</v>
      </c>
      <c r="D106" s="414" t="e">
        <f>'[1]โอน'!E105</f>
        <v>#REF!</v>
      </c>
      <c r="E106" s="414" t="e">
        <f>'[1]โอน'!G105</f>
        <v>#REF!</v>
      </c>
      <c r="F106" s="414" t="e">
        <f>'[1]โอน'!I105</f>
        <v>#REF!</v>
      </c>
      <c r="G106" s="414" t="e">
        <f>'[1]โอน'!K105</f>
        <v>#REF!</v>
      </c>
      <c r="H106" s="414" t="e">
        <f>'[1]โอน'!M105</f>
        <v>#REF!</v>
      </c>
      <c r="I106" s="414" t="e">
        <f>'[1]โอน'!O105</f>
        <v>#REF!</v>
      </c>
      <c r="J106" s="414" t="e">
        <f>'[1]โอน'!Q105</f>
        <v>#REF!</v>
      </c>
      <c r="K106" s="414" t="e">
        <f>'[1]โอน'!S105</f>
        <v>#REF!</v>
      </c>
      <c r="L106" s="414" t="e">
        <f>'[1]โอน'!T105</f>
        <v>#REF!</v>
      </c>
      <c r="M106" s="414" t="e">
        <f>'[1]โอน'!U105</f>
        <v>#REF!</v>
      </c>
      <c r="N106" s="414" t="e">
        <f>'[1]โอน'!Y105</f>
        <v>#REF!</v>
      </c>
      <c r="O106" s="414" t="e">
        <f>SUM(C106:N106)</f>
        <v>#REF!</v>
      </c>
    </row>
    <row r="107" spans="1:15" s="116" customFormat="1" ht="23.25" hidden="1">
      <c r="A107" s="416" t="s">
        <v>311</v>
      </c>
      <c r="B107" s="442"/>
      <c r="C107" s="418">
        <v>0</v>
      </c>
      <c r="D107" s="418">
        <v>0</v>
      </c>
      <c r="E107" s="418">
        <v>0</v>
      </c>
      <c r="F107" s="418">
        <v>0</v>
      </c>
      <c r="G107" s="418">
        <v>0</v>
      </c>
      <c r="H107" s="418">
        <v>0</v>
      </c>
      <c r="I107" s="418">
        <v>0</v>
      </c>
      <c r="J107" s="418">
        <v>0</v>
      </c>
      <c r="K107" s="418">
        <v>0</v>
      </c>
      <c r="L107" s="418">
        <v>0</v>
      </c>
      <c r="M107" s="418"/>
      <c r="N107" s="418">
        <v>0</v>
      </c>
      <c r="O107" s="419">
        <f>SUM(C107:N107)</f>
        <v>0</v>
      </c>
    </row>
    <row r="108" spans="1:15" s="116" customFormat="1" ht="24" thickBot="1">
      <c r="A108" s="420" t="s">
        <v>288</v>
      </c>
      <c r="B108" s="421"/>
      <c r="C108" s="257">
        <f aca="true" t="shared" si="45" ref="C108:O108">SUM(C105:C107)</f>
        <v>3000</v>
      </c>
      <c r="D108" s="257" t="e">
        <f t="shared" si="45"/>
        <v>#REF!</v>
      </c>
      <c r="E108" s="257" t="e">
        <f t="shared" si="45"/>
        <v>#REF!</v>
      </c>
      <c r="F108" s="257" t="e">
        <f t="shared" si="45"/>
        <v>#REF!</v>
      </c>
      <c r="G108" s="257" t="e">
        <f t="shared" si="45"/>
        <v>#REF!</v>
      </c>
      <c r="H108" s="257" t="e">
        <f t="shared" si="45"/>
        <v>#REF!</v>
      </c>
      <c r="I108" s="257" t="e">
        <f t="shared" si="45"/>
        <v>#REF!</v>
      </c>
      <c r="J108" s="257" t="e">
        <f t="shared" si="45"/>
        <v>#REF!</v>
      </c>
      <c r="K108" s="257" t="e">
        <f t="shared" si="45"/>
        <v>#REF!</v>
      </c>
      <c r="L108" s="257" t="e">
        <f t="shared" si="45"/>
        <v>#REF!</v>
      </c>
      <c r="M108" s="257" t="e">
        <f t="shared" si="45"/>
        <v>#REF!</v>
      </c>
      <c r="N108" s="257" t="e">
        <f t="shared" si="45"/>
        <v>#REF!</v>
      </c>
      <c r="O108" s="257" t="e">
        <f t="shared" si="45"/>
        <v>#REF!</v>
      </c>
    </row>
    <row r="109" spans="1:15" s="116" customFormat="1" ht="24" thickTop="1">
      <c r="A109" s="260" t="s">
        <v>413</v>
      </c>
      <c r="B109" s="424"/>
      <c r="C109" s="425"/>
      <c r="D109" s="425"/>
      <c r="E109" s="425"/>
      <c r="F109" s="425"/>
      <c r="G109" s="425"/>
      <c r="H109" s="425"/>
      <c r="I109" s="425"/>
      <c r="J109" s="425"/>
      <c r="K109" s="425">
        <f>4714500-348000</f>
        <v>4366500</v>
      </c>
      <c r="L109" s="425"/>
      <c r="M109" s="425"/>
      <c r="N109" s="425"/>
      <c r="O109" s="426">
        <f>SUM(C109:N109)</f>
        <v>4366500</v>
      </c>
    </row>
    <row r="110" spans="1:15" s="116" customFormat="1" ht="23.25">
      <c r="A110" s="261" t="s">
        <v>414</v>
      </c>
      <c r="B110" s="427"/>
      <c r="C110" s="428"/>
      <c r="D110" s="428"/>
      <c r="E110" s="428"/>
      <c r="F110" s="428"/>
      <c r="G110" s="428"/>
      <c r="H110" s="428"/>
      <c r="I110" s="428"/>
      <c r="J110" s="428"/>
      <c r="K110" s="428">
        <v>348000</v>
      </c>
      <c r="L110" s="428"/>
      <c r="M110" s="428"/>
      <c r="N110" s="428"/>
      <c r="O110" s="429">
        <f>SUM(E110:N110)</f>
        <v>348000</v>
      </c>
    </row>
    <row r="111" spans="1:15" s="116" customFormat="1" ht="23.25">
      <c r="A111" s="411" t="s">
        <v>415</v>
      </c>
      <c r="B111" s="412"/>
      <c r="C111" s="322">
        <f aca="true" t="shared" si="46" ref="C111:N111">SUM(C109:C110)</f>
        <v>0</v>
      </c>
      <c r="D111" s="322">
        <f t="shared" si="46"/>
        <v>0</v>
      </c>
      <c r="E111" s="322">
        <f t="shared" si="46"/>
        <v>0</v>
      </c>
      <c r="F111" s="322">
        <f t="shared" si="46"/>
        <v>0</v>
      </c>
      <c r="G111" s="322">
        <f t="shared" si="46"/>
        <v>0</v>
      </c>
      <c r="H111" s="322">
        <f t="shared" si="46"/>
        <v>0</v>
      </c>
      <c r="I111" s="322">
        <f t="shared" si="46"/>
        <v>0</v>
      </c>
      <c r="J111" s="322">
        <f t="shared" si="46"/>
        <v>0</v>
      </c>
      <c r="K111" s="322">
        <f t="shared" si="46"/>
        <v>4714500</v>
      </c>
      <c r="L111" s="322">
        <f t="shared" si="46"/>
        <v>0</v>
      </c>
      <c r="M111" s="322">
        <f t="shared" si="46"/>
        <v>0</v>
      </c>
      <c r="N111" s="322">
        <f t="shared" si="46"/>
        <v>0</v>
      </c>
      <c r="O111" s="436">
        <f>SUM(O109:O110)</f>
        <v>4714500</v>
      </c>
    </row>
    <row r="112" spans="1:15" s="116" customFormat="1" ht="24" thickBot="1">
      <c r="A112" s="437" t="s">
        <v>416</v>
      </c>
      <c r="B112" s="438"/>
      <c r="C112" s="335">
        <f>SUM(C109-C108)</f>
        <v>-3000</v>
      </c>
      <c r="D112" s="335" t="e">
        <f aca="true" t="shared" si="47" ref="D112:N112">SUM(D109-D108)</f>
        <v>#REF!</v>
      </c>
      <c r="E112" s="335" t="e">
        <f t="shared" si="47"/>
        <v>#REF!</v>
      </c>
      <c r="F112" s="335" t="e">
        <f t="shared" si="47"/>
        <v>#REF!</v>
      </c>
      <c r="G112" s="335" t="e">
        <f t="shared" si="47"/>
        <v>#REF!</v>
      </c>
      <c r="H112" s="335" t="e">
        <f t="shared" si="47"/>
        <v>#REF!</v>
      </c>
      <c r="I112" s="335" t="e">
        <f t="shared" si="47"/>
        <v>#REF!</v>
      </c>
      <c r="J112" s="335" t="e">
        <f t="shared" si="47"/>
        <v>#REF!</v>
      </c>
      <c r="K112" s="335" t="e">
        <f t="shared" si="47"/>
        <v>#REF!</v>
      </c>
      <c r="L112" s="335" t="e">
        <f t="shared" si="47"/>
        <v>#REF!</v>
      </c>
      <c r="M112" s="335" t="e">
        <f t="shared" si="47"/>
        <v>#REF!</v>
      </c>
      <c r="N112" s="335" t="e">
        <f t="shared" si="47"/>
        <v>#REF!</v>
      </c>
      <c r="O112" s="430" t="e">
        <f aca="true" t="shared" si="48" ref="O112:O117">SUM(C112:N112)</f>
        <v>#REF!</v>
      </c>
    </row>
    <row r="113" spans="1:16" ht="24" thickTop="1">
      <c r="A113" s="434" t="s">
        <v>8</v>
      </c>
      <c r="B113" s="434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>
        <f>233765+194520+60000+200000+20000+137400+200000+2576440+19680</f>
        <v>3641805</v>
      </c>
      <c r="O113" s="429">
        <f t="shared" si="48"/>
        <v>3641805</v>
      </c>
      <c r="P113" s="254"/>
    </row>
    <row r="114" spans="1:16" ht="23.25">
      <c r="A114" s="409"/>
      <c r="B114" s="409" t="s">
        <v>312</v>
      </c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435">
        <f t="shared" si="48"/>
        <v>0</v>
      </c>
      <c r="P114" s="254"/>
    </row>
    <row r="115" spans="1:15" s="116" customFormat="1" ht="23.25">
      <c r="A115" s="259" t="s">
        <v>4</v>
      </c>
      <c r="B115" s="443"/>
      <c r="C115" s="445">
        <f aca="true" t="shared" si="49" ref="C115:M115">SUM(C113:C114)</f>
        <v>0</v>
      </c>
      <c r="D115" s="445">
        <f t="shared" si="49"/>
        <v>0</v>
      </c>
      <c r="E115" s="445">
        <f t="shared" si="49"/>
        <v>0</v>
      </c>
      <c r="F115" s="445">
        <f t="shared" si="49"/>
        <v>0</v>
      </c>
      <c r="G115" s="445">
        <f t="shared" si="49"/>
        <v>0</v>
      </c>
      <c r="H115" s="445">
        <f t="shared" si="49"/>
        <v>0</v>
      </c>
      <c r="I115" s="445">
        <f t="shared" si="49"/>
        <v>0</v>
      </c>
      <c r="J115" s="445">
        <f t="shared" si="49"/>
        <v>0</v>
      </c>
      <c r="K115" s="445">
        <f>SUM(K113:K114)</f>
        <v>0</v>
      </c>
      <c r="L115" s="445">
        <f t="shared" si="49"/>
        <v>0</v>
      </c>
      <c r="M115" s="445">
        <f t="shared" si="49"/>
        <v>0</v>
      </c>
      <c r="N115" s="445">
        <f>SUM(N113:N114)</f>
        <v>3641805</v>
      </c>
      <c r="O115" s="446">
        <f t="shared" si="48"/>
        <v>3641805</v>
      </c>
    </row>
    <row r="116" spans="1:15" s="116" customFormat="1" ht="23.25">
      <c r="A116" s="413" t="s">
        <v>310</v>
      </c>
      <c r="B116" s="412"/>
      <c r="C116" s="414" t="e">
        <f>'[1]โอน'!C112</f>
        <v>#REF!</v>
      </c>
      <c r="D116" s="414" t="e">
        <f>'[1]โอน'!E112</f>
        <v>#REF!</v>
      </c>
      <c r="E116" s="414" t="e">
        <f>'[1]โอน'!G112</f>
        <v>#REF!</v>
      </c>
      <c r="F116" s="414" t="e">
        <f>'[1]โอน'!I112</f>
        <v>#REF!</v>
      </c>
      <c r="G116" s="414" t="e">
        <f>'[1]โอน'!K112</f>
        <v>#REF!</v>
      </c>
      <c r="H116" s="414" t="e">
        <f>'[1]โอน'!M112</f>
        <v>#REF!</v>
      </c>
      <c r="I116" s="414" t="e">
        <f>'[1]โอน'!O112</f>
        <v>#REF!</v>
      </c>
      <c r="J116" s="414" t="e">
        <f>'[1]โอน'!Q112</f>
        <v>#REF!</v>
      </c>
      <c r="K116" s="414" t="e">
        <f>'[1]โอน'!S112</f>
        <v>#REF!</v>
      </c>
      <c r="L116" s="414" t="e">
        <f>'[1]โอน'!T112</f>
        <v>#REF!</v>
      </c>
      <c r="M116" s="414" t="e">
        <f>'[1]โอน'!U112</f>
        <v>#REF!</v>
      </c>
      <c r="N116" s="414">
        <f>'[1]โอน'!Y113</f>
        <v>68700</v>
      </c>
      <c r="O116" s="414" t="e">
        <f t="shared" si="48"/>
        <v>#REF!</v>
      </c>
    </row>
    <row r="117" spans="1:15" s="256" customFormat="1" ht="23.25" hidden="1">
      <c r="A117" s="416" t="s">
        <v>311</v>
      </c>
      <c r="B117" s="442"/>
      <c r="C117" s="418">
        <v>0</v>
      </c>
      <c r="D117" s="418">
        <v>0</v>
      </c>
      <c r="E117" s="418">
        <v>0</v>
      </c>
      <c r="F117" s="418">
        <v>0</v>
      </c>
      <c r="G117" s="418">
        <v>0</v>
      </c>
      <c r="H117" s="418">
        <v>0</v>
      </c>
      <c r="I117" s="418">
        <v>0</v>
      </c>
      <c r="J117" s="418">
        <v>0</v>
      </c>
      <c r="K117" s="418">
        <v>0</v>
      </c>
      <c r="L117" s="418">
        <v>0</v>
      </c>
      <c r="M117" s="418"/>
      <c r="N117" s="418"/>
      <c r="O117" s="419">
        <f t="shared" si="48"/>
        <v>0</v>
      </c>
    </row>
    <row r="118" spans="1:15" s="116" customFormat="1" ht="24" thickBot="1">
      <c r="A118" s="420" t="s">
        <v>288</v>
      </c>
      <c r="B118" s="421"/>
      <c r="C118" s="257" t="e">
        <f aca="true" t="shared" si="50" ref="C118:O118">SUM(C115:C117)</f>
        <v>#REF!</v>
      </c>
      <c r="D118" s="257" t="e">
        <f t="shared" si="50"/>
        <v>#REF!</v>
      </c>
      <c r="E118" s="257" t="e">
        <f t="shared" si="50"/>
        <v>#REF!</v>
      </c>
      <c r="F118" s="257" t="e">
        <f t="shared" si="50"/>
        <v>#REF!</v>
      </c>
      <c r="G118" s="257" t="e">
        <f t="shared" si="50"/>
        <v>#REF!</v>
      </c>
      <c r="H118" s="257" t="e">
        <f t="shared" si="50"/>
        <v>#REF!</v>
      </c>
      <c r="I118" s="257" t="e">
        <f t="shared" si="50"/>
        <v>#REF!</v>
      </c>
      <c r="J118" s="257" t="e">
        <f t="shared" si="50"/>
        <v>#REF!</v>
      </c>
      <c r="K118" s="257" t="e">
        <f t="shared" si="50"/>
        <v>#REF!</v>
      </c>
      <c r="L118" s="257" t="e">
        <f t="shared" si="50"/>
        <v>#REF!</v>
      </c>
      <c r="M118" s="257" t="e">
        <f t="shared" si="50"/>
        <v>#REF!</v>
      </c>
      <c r="N118" s="257">
        <f t="shared" si="50"/>
        <v>3710505</v>
      </c>
      <c r="O118" s="257" t="e">
        <f t="shared" si="50"/>
        <v>#REF!</v>
      </c>
    </row>
    <row r="119" spans="1:15" s="116" customFormat="1" ht="24" thickTop="1">
      <c r="A119" s="260" t="s">
        <v>413</v>
      </c>
      <c r="B119" s="424"/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>
        <v>1019657.09</v>
      </c>
      <c r="O119" s="426">
        <f>SUM(C119:N119)</f>
        <v>1019657.09</v>
      </c>
    </row>
    <row r="120" spans="1:15" s="116" customFormat="1" ht="23.25">
      <c r="A120" s="261" t="s">
        <v>414</v>
      </c>
      <c r="B120" s="427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N120" s="428"/>
      <c r="O120" s="429">
        <f>SUM(E120:N120)</f>
        <v>0</v>
      </c>
    </row>
    <row r="121" spans="1:15" s="116" customFormat="1" ht="23.25">
      <c r="A121" s="260" t="s">
        <v>415</v>
      </c>
      <c r="B121" s="424"/>
      <c r="C121" s="425">
        <f aca="true" t="shared" si="51" ref="C121:O121">SUM(C119:C120)</f>
        <v>0</v>
      </c>
      <c r="D121" s="425">
        <f t="shared" si="51"/>
        <v>0</v>
      </c>
      <c r="E121" s="425">
        <f t="shared" si="51"/>
        <v>0</v>
      </c>
      <c r="F121" s="425">
        <f t="shared" si="51"/>
        <v>0</v>
      </c>
      <c r="G121" s="425">
        <f t="shared" si="51"/>
        <v>0</v>
      </c>
      <c r="H121" s="425">
        <f t="shared" si="51"/>
        <v>0</v>
      </c>
      <c r="I121" s="425">
        <f t="shared" si="51"/>
        <v>0</v>
      </c>
      <c r="J121" s="425">
        <f t="shared" si="51"/>
        <v>0</v>
      </c>
      <c r="K121" s="425">
        <f t="shared" si="51"/>
        <v>0</v>
      </c>
      <c r="L121" s="425">
        <f t="shared" si="51"/>
        <v>0</v>
      </c>
      <c r="M121" s="425">
        <f t="shared" si="51"/>
        <v>0</v>
      </c>
      <c r="N121" s="425">
        <f t="shared" si="51"/>
        <v>1019657.09</v>
      </c>
      <c r="O121" s="426">
        <f t="shared" si="51"/>
        <v>1019657.09</v>
      </c>
    </row>
    <row r="122" spans="1:15" s="116" customFormat="1" ht="24" thickBot="1">
      <c r="A122" s="437" t="s">
        <v>416</v>
      </c>
      <c r="B122" s="438"/>
      <c r="C122" s="335" t="e">
        <f aca="true" t="shared" si="52" ref="C122:M122">SUM(C119-C118)</f>
        <v>#REF!</v>
      </c>
      <c r="D122" s="335" t="e">
        <f t="shared" si="52"/>
        <v>#REF!</v>
      </c>
      <c r="E122" s="335" t="e">
        <f t="shared" si="52"/>
        <v>#REF!</v>
      </c>
      <c r="F122" s="335" t="e">
        <f t="shared" si="52"/>
        <v>#REF!</v>
      </c>
      <c r="G122" s="335" t="e">
        <f t="shared" si="52"/>
        <v>#REF!</v>
      </c>
      <c r="H122" s="335" t="e">
        <f t="shared" si="52"/>
        <v>#REF!</v>
      </c>
      <c r="I122" s="335" t="e">
        <f t="shared" si="52"/>
        <v>#REF!</v>
      </c>
      <c r="J122" s="335" t="e">
        <f t="shared" si="52"/>
        <v>#REF!</v>
      </c>
      <c r="K122" s="335" t="e">
        <f t="shared" si="52"/>
        <v>#REF!</v>
      </c>
      <c r="L122" s="335" t="e">
        <f t="shared" si="52"/>
        <v>#REF!</v>
      </c>
      <c r="M122" s="335" t="e">
        <f t="shared" si="52"/>
        <v>#REF!</v>
      </c>
      <c r="N122" s="335">
        <f>SUM(N119-N118)</f>
        <v>-2690847.91</v>
      </c>
      <c r="O122" s="430" t="e">
        <f>SUM(C122:N122)</f>
        <v>#REF!</v>
      </c>
    </row>
    <row r="123" spans="1:15" s="116" customFormat="1" ht="24" thickTop="1">
      <c r="A123" s="260"/>
      <c r="B123" s="424"/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6"/>
    </row>
    <row r="124" spans="1:18" s="116" customFormat="1" ht="23.25">
      <c r="A124" s="443" t="s">
        <v>307</v>
      </c>
      <c r="B124" s="443"/>
      <c r="C124" s="445">
        <f aca="true" t="shared" si="53" ref="C124:N124">C5+C15+C27+C35+C45+C55+C65+C73+C83+C93+C103+C113</f>
        <v>8070330</v>
      </c>
      <c r="D124" s="445">
        <f t="shared" si="53"/>
        <v>153250</v>
      </c>
      <c r="E124" s="445">
        <f t="shared" si="53"/>
        <v>6804176</v>
      </c>
      <c r="F124" s="445">
        <f t="shared" si="53"/>
        <v>888020</v>
      </c>
      <c r="G124" s="445">
        <f t="shared" si="53"/>
        <v>190000</v>
      </c>
      <c r="H124" s="445">
        <f t="shared" si="53"/>
        <v>3207260</v>
      </c>
      <c r="I124" s="445">
        <f t="shared" si="53"/>
        <v>3966820</v>
      </c>
      <c r="J124" s="445">
        <f t="shared" si="53"/>
        <v>0</v>
      </c>
      <c r="K124" s="445">
        <f t="shared" si="53"/>
        <v>4884000</v>
      </c>
      <c r="L124" s="445">
        <f t="shared" si="53"/>
        <v>120000</v>
      </c>
      <c r="M124" s="445">
        <f t="shared" si="53"/>
        <v>176600</v>
      </c>
      <c r="N124" s="445">
        <f t="shared" si="53"/>
        <v>3641805</v>
      </c>
      <c r="O124" s="445">
        <f>O7+O17+O29+O37+O47+O57+O67+O75+O85+O95+O105+O113</f>
        <v>31982261</v>
      </c>
      <c r="R124" s="423"/>
    </row>
    <row r="125" spans="1:15" s="116" customFormat="1" ht="23.25">
      <c r="A125" s="443" t="s">
        <v>313</v>
      </c>
      <c r="B125" s="443" t="s">
        <v>314</v>
      </c>
      <c r="C125" s="445">
        <f aca="true" t="shared" si="54" ref="C125:N125">C6+C16+C28+C36+C46+C56+C66+C74+C84+C94+C114</f>
        <v>0</v>
      </c>
      <c r="D125" s="445">
        <f t="shared" si="54"/>
        <v>0</v>
      </c>
      <c r="E125" s="445">
        <f t="shared" si="54"/>
        <v>0</v>
      </c>
      <c r="F125" s="445">
        <f t="shared" si="54"/>
        <v>0</v>
      </c>
      <c r="G125" s="445">
        <f t="shared" si="54"/>
        <v>0</v>
      </c>
      <c r="H125" s="445">
        <f t="shared" si="54"/>
        <v>0</v>
      </c>
      <c r="I125" s="445">
        <f t="shared" si="54"/>
        <v>0</v>
      </c>
      <c r="J125" s="445">
        <f t="shared" si="54"/>
        <v>0</v>
      </c>
      <c r="K125" s="445">
        <f t="shared" si="54"/>
        <v>0</v>
      </c>
      <c r="L125" s="445">
        <f t="shared" si="54"/>
        <v>0</v>
      </c>
      <c r="M125" s="445">
        <f t="shared" si="54"/>
        <v>0</v>
      </c>
      <c r="N125" s="445">
        <f t="shared" si="54"/>
        <v>0</v>
      </c>
      <c r="O125" s="436">
        <f>SUM(C125:N125)</f>
        <v>0</v>
      </c>
    </row>
    <row r="126" spans="1:15" s="116" customFormat="1" ht="23.25">
      <c r="A126" s="412" t="s">
        <v>307</v>
      </c>
      <c r="B126" s="443"/>
      <c r="C126" s="445">
        <f aca="true" t="shared" si="55" ref="C126:M126">SUM(C124:C125)</f>
        <v>8070330</v>
      </c>
      <c r="D126" s="445">
        <f t="shared" si="55"/>
        <v>153250</v>
      </c>
      <c r="E126" s="445">
        <f t="shared" si="55"/>
        <v>6804176</v>
      </c>
      <c r="F126" s="445">
        <f>SUM(F124:F125)</f>
        <v>888020</v>
      </c>
      <c r="G126" s="445">
        <f t="shared" si="55"/>
        <v>190000</v>
      </c>
      <c r="H126" s="445">
        <f t="shared" si="55"/>
        <v>3207260</v>
      </c>
      <c r="I126" s="445">
        <f t="shared" si="55"/>
        <v>3966820</v>
      </c>
      <c r="J126" s="445">
        <f t="shared" si="55"/>
        <v>0</v>
      </c>
      <c r="K126" s="445">
        <f t="shared" si="55"/>
        <v>4884000</v>
      </c>
      <c r="L126" s="445">
        <f t="shared" si="55"/>
        <v>120000</v>
      </c>
      <c r="M126" s="445">
        <f t="shared" si="55"/>
        <v>176600</v>
      </c>
      <c r="N126" s="445">
        <f>SUM(N124:N125)</f>
        <v>3641805</v>
      </c>
      <c r="O126" s="445">
        <f>SUM(O124:O125)</f>
        <v>31982261</v>
      </c>
    </row>
    <row r="127" spans="1:15" s="116" customFormat="1" ht="23.25">
      <c r="A127" s="447" t="s">
        <v>315</v>
      </c>
      <c r="B127" s="443"/>
      <c r="C127" s="448" t="e">
        <f aca="true" t="shared" si="56" ref="C127:O127">SUM(C8+C18+C30+C38+C48+C58+C68+C76+C86+C96+C106+C116)</f>
        <v>#REF!</v>
      </c>
      <c r="D127" s="448" t="e">
        <f t="shared" si="56"/>
        <v>#REF!</v>
      </c>
      <c r="E127" s="448" t="e">
        <f t="shared" si="56"/>
        <v>#REF!</v>
      </c>
      <c r="F127" s="448" t="e">
        <f t="shared" si="56"/>
        <v>#REF!</v>
      </c>
      <c r="G127" s="448" t="e">
        <f t="shared" si="56"/>
        <v>#REF!</v>
      </c>
      <c r="H127" s="448" t="e">
        <f t="shared" si="56"/>
        <v>#REF!</v>
      </c>
      <c r="I127" s="448" t="e">
        <f t="shared" si="56"/>
        <v>#REF!</v>
      </c>
      <c r="J127" s="448" t="e">
        <f t="shared" si="56"/>
        <v>#REF!</v>
      </c>
      <c r="K127" s="448" t="e">
        <f t="shared" si="56"/>
        <v>#REF!</v>
      </c>
      <c r="L127" s="448" t="e">
        <f t="shared" si="56"/>
        <v>#REF!</v>
      </c>
      <c r="M127" s="448" t="e">
        <f t="shared" si="56"/>
        <v>#REF!</v>
      </c>
      <c r="N127" s="448" t="e">
        <f t="shared" si="56"/>
        <v>#REF!</v>
      </c>
      <c r="O127" s="414" t="e">
        <f t="shared" si="56"/>
        <v>#REF!</v>
      </c>
    </row>
    <row r="128" spans="1:15" s="256" customFormat="1" ht="24" hidden="1" thickBot="1">
      <c r="A128" s="449" t="s">
        <v>316</v>
      </c>
      <c r="B128" s="450"/>
      <c r="C128" s="451">
        <f aca="true" t="shared" si="57" ref="C128:L128">C117+C107+C97+C87+C77+C69+C59+C49+C39+C31+C19+C9</f>
        <v>0</v>
      </c>
      <c r="D128" s="451">
        <f t="shared" si="57"/>
        <v>0</v>
      </c>
      <c r="E128" s="451">
        <f t="shared" si="57"/>
        <v>0</v>
      </c>
      <c r="F128" s="451">
        <f t="shared" si="57"/>
        <v>0</v>
      </c>
      <c r="G128" s="451">
        <f t="shared" si="57"/>
        <v>0</v>
      </c>
      <c r="H128" s="451">
        <f t="shared" si="57"/>
        <v>0</v>
      </c>
      <c r="I128" s="451">
        <f t="shared" si="57"/>
        <v>0</v>
      </c>
      <c r="J128" s="451">
        <f t="shared" si="57"/>
        <v>0</v>
      </c>
      <c r="K128" s="451">
        <f t="shared" si="57"/>
        <v>0</v>
      </c>
      <c r="L128" s="451">
        <f t="shared" si="57"/>
        <v>0</v>
      </c>
      <c r="M128" s="451"/>
      <c r="N128" s="451">
        <f>N117+N107+N97+N87+N77+N69+N59+N49+N39+N31+N19+N9</f>
        <v>0</v>
      </c>
      <c r="O128" s="452">
        <f>SUM(C128:N128)</f>
        <v>0</v>
      </c>
    </row>
    <row r="129" spans="1:18" ht="24" thickBot="1">
      <c r="A129" s="421" t="s">
        <v>307</v>
      </c>
      <c r="B129" s="421"/>
      <c r="C129" s="257" t="e">
        <f aca="true" t="shared" si="58" ref="C129:N129">SUM(C126:C128)</f>
        <v>#REF!</v>
      </c>
      <c r="D129" s="257" t="e">
        <f t="shared" si="58"/>
        <v>#REF!</v>
      </c>
      <c r="E129" s="257" t="e">
        <f t="shared" si="58"/>
        <v>#REF!</v>
      </c>
      <c r="F129" s="257" t="e">
        <f t="shared" si="58"/>
        <v>#REF!</v>
      </c>
      <c r="G129" s="257" t="e">
        <f t="shared" si="58"/>
        <v>#REF!</v>
      </c>
      <c r="H129" s="257" t="e">
        <f t="shared" si="58"/>
        <v>#REF!</v>
      </c>
      <c r="I129" s="257" t="e">
        <f t="shared" si="58"/>
        <v>#REF!</v>
      </c>
      <c r="J129" s="257" t="e">
        <f t="shared" si="58"/>
        <v>#REF!</v>
      </c>
      <c r="K129" s="257" t="e">
        <f t="shared" si="58"/>
        <v>#REF!</v>
      </c>
      <c r="L129" s="257" t="e">
        <f t="shared" si="58"/>
        <v>#REF!</v>
      </c>
      <c r="M129" s="257" t="e">
        <f t="shared" si="58"/>
        <v>#REF!</v>
      </c>
      <c r="N129" s="257" t="e">
        <f t="shared" si="58"/>
        <v>#REF!</v>
      </c>
      <c r="O129" s="335" t="e">
        <f>C129+D129+E129+F129+G129+I129+K129+M129+N129+H129</f>
        <v>#REF!</v>
      </c>
      <c r="R129" s="453"/>
    </row>
    <row r="130" spans="1:15" s="116" customFormat="1" ht="24" thickTop="1">
      <c r="A130" s="454" t="s">
        <v>413</v>
      </c>
      <c r="B130" s="424"/>
      <c r="C130" s="425">
        <f aca="true" t="shared" si="59" ref="C130:O130">C11+C21+C33+C41+C51+C61+C71+C79+C89+C99+C109+C119</f>
        <v>7122808.109999999</v>
      </c>
      <c r="D130" s="425">
        <f t="shared" si="59"/>
        <v>142944</v>
      </c>
      <c r="E130" s="425">
        <f t="shared" si="59"/>
        <v>6313693.7</v>
      </c>
      <c r="F130" s="425">
        <f t="shared" si="59"/>
        <v>767293</v>
      </c>
      <c r="G130" s="425">
        <f t="shared" si="59"/>
        <v>183865</v>
      </c>
      <c r="H130" s="425">
        <f t="shared" si="59"/>
        <v>2869193.32</v>
      </c>
      <c r="I130" s="425">
        <f t="shared" si="59"/>
        <v>3884626.88</v>
      </c>
      <c r="J130" s="425">
        <f t="shared" si="59"/>
        <v>0</v>
      </c>
      <c r="K130" s="425">
        <f t="shared" si="59"/>
        <v>4422361</v>
      </c>
      <c r="L130" s="425">
        <f t="shared" si="59"/>
        <v>0</v>
      </c>
      <c r="M130" s="425">
        <f t="shared" si="59"/>
        <v>16307</v>
      </c>
      <c r="N130" s="425">
        <f t="shared" si="59"/>
        <v>1019657.09</v>
      </c>
      <c r="O130" s="425">
        <f t="shared" si="59"/>
        <v>26742749.099999998</v>
      </c>
    </row>
    <row r="131" spans="1:15" s="116" customFormat="1" ht="23.25">
      <c r="A131" s="455" t="s">
        <v>414</v>
      </c>
      <c r="B131" s="427"/>
      <c r="C131" s="428">
        <f>C12+C22+C42+C52+C62+C80+C110+C120+C100</f>
        <v>59770</v>
      </c>
      <c r="D131" s="428">
        <f aca="true" t="shared" si="60" ref="D131:N131">D12+D22+D42+D52+D62+D80+D110+D120</f>
        <v>0</v>
      </c>
      <c r="E131" s="428">
        <f t="shared" si="60"/>
        <v>291500</v>
      </c>
      <c r="F131" s="428">
        <f t="shared" si="60"/>
        <v>0</v>
      </c>
      <c r="G131" s="428">
        <f t="shared" si="60"/>
        <v>0</v>
      </c>
      <c r="H131" s="428">
        <f t="shared" si="60"/>
        <v>0</v>
      </c>
      <c r="I131" s="428">
        <f t="shared" si="60"/>
        <v>79568</v>
      </c>
      <c r="J131" s="428">
        <f t="shared" si="60"/>
        <v>0</v>
      </c>
      <c r="K131" s="428">
        <f t="shared" si="60"/>
        <v>348000</v>
      </c>
      <c r="L131" s="428">
        <f t="shared" si="60"/>
        <v>0</v>
      </c>
      <c r="M131" s="428">
        <f t="shared" si="60"/>
        <v>0</v>
      </c>
      <c r="N131" s="428">
        <f t="shared" si="60"/>
        <v>0</v>
      </c>
      <c r="O131" s="428">
        <f>O12+O22+O42+O52+O62+O80+O110+O120+O100</f>
        <v>778838</v>
      </c>
    </row>
    <row r="132" spans="1:15" s="116" customFormat="1" ht="23.25">
      <c r="A132" s="454" t="s">
        <v>415</v>
      </c>
      <c r="B132" s="424"/>
      <c r="C132" s="425">
        <f>SUM(C130:C131)</f>
        <v>7182578.109999999</v>
      </c>
      <c r="D132" s="425">
        <f aca="true" t="shared" si="61" ref="D132:N132">SUM(D130:D131)</f>
        <v>142944</v>
      </c>
      <c r="E132" s="425">
        <f t="shared" si="61"/>
        <v>6605193.7</v>
      </c>
      <c r="F132" s="425">
        <f t="shared" si="61"/>
        <v>767293</v>
      </c>
      <c r="G132" s="425">
        <f t="shared" si="61"/>
        <v>183865</v>
      </c>
      <c r="H132" s="425">
        <f t="shared" si="61"/>
        <v>2869193.32</v>
      </c>
      <c r="I132" s="425">
        <f t="shared" si="61"/>
        <v>3964194.88</v>
      </c>
      <c r="J132" s="425">
        <f t="shared" si="61"/>
        <v>0</v>
      </c>
      <c r="K132" s="425">
        <f t="shared" si="61"/>
        <v>4770361</v>
      </c>
      <c r="L132" s="425">
        <f t="shared" si="61"/>
        <v>0</v>
      </c>
      <c r="M132" s="425">
        <f t="shared" si="61"/>
        <v>16307</v>
      </c>
      <c r="N132" s="425">
        <f t="shared" si="61"/>
        <v>1019657.09</v>
      </c>
      <c r="O132" s="425">
        <f>SUM(O130:O131)</f>
        <v>27521587.099999998</v>
      </c>
    </row>
    <row r="133" spans="1:15" s="415" customFormat="1" ht="24" thickBot="1">
      <c r="A133" s="456" t="s">
        <v>416</v>
      </c>
      <c r="B133" s="421"/>
      <c r="C133" s="257" t="e">
        <f>C130-C129</f>
        <v>#REF!</v>
      </c>
      <c r="D133" s="257" t="e">
        <f aca="true" t="shared" si="62" ref="D133:L133">D130-D129</f>
        <v>#REF!</v>
      </c>
      <c r="E133" s="257" t="e">
        <f t="shared" si="62"/>
        <v>#REF!</v>
      </c>
      <c r="F133" s="257" t="e">
        <f t="shared" si="62"/>
        <v>#REF!</v>
      </c>
      <c r="G133" s="257" t="e">
        <f t="shared" si="62"/>
        <v>#REF!</v>
      </c>
      <c r="H133" s="257" t="e">
        <f>H130-H129</f>
        <v>#REF!</v>
      </c>
      <c r="I133" s="257" t="e">
        <f t="shared" si="62"/>
        <v>#REF!</v>
      </c>
      <c r="J133" s="257" t="e">
        <f>J130-J129</f>
        <v>#REF!</v>
      </c>
      <c r="K133" s="257" t="e">
        <f t="shared" si="62"/>
        <v>#REF!</v>
      </c>
      <c r="L133" s="257" t="e">
        <f t="shared" si="62"/>
        <v>#REF!</v>
      </c>
      <c r="M133" s="257" t="e">
        <f>M130-M129</f>
        <v>#REF!</v>
      </c>
      <c r="N133" s="257" t="e">
        <f>N130-N129</f>
        <v>#REF!</v>
      </c>
      <c r="O133" s="257" t="e">
        <f>O130-O129</f>
        <v>#REF!</v>
      </c>
    </row>
    <row r="134" ht="24" thickTop="1"/>
    <row r="135" ht="23.25">
      <c r="O135" s="458"/>
    </row>
    <row r="137" ht="23.25">
      <c r="O137" s="458"/>
    </row>
    <row r="138" ht="23.25">
      <c r="R138" s="3"/>
    </row>
  </sheetData>
  <sheetProtection/>
  <mergeCells count="3">
    <mergeCell ref="A1:O1"/>
    <mergeCell ref="A2:O2"/>
    <mergeCell ref="A3:O3"/>
  </mergeCells>
  <printOptions/>
  <pageMargins left="0.5905511811023623" right="0.4724409448818898" top="0.33" bottom="0.24" header="0.28" footer="0.2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9" sqref="C19"/>
    </sheetView>
  </sheetViews>
  <sheetFormatPr defaultColWidth="9.140625" defaultRowHeight="23.25"/>
  <cols>
    <col min="1" max="1" width="28.8515625" style="67" customWidth="1"/>
    <col min="2" max="2" width="17.57421875" style="49" customWidth="1"/>
    <col min="3" max="3" width="15.00390625" style="49" customWidth="1"/>
    <col min="4" max="4" width="13.57421875" style="67" customWidth="1"/>
    <col min="5" max="5" width="15.7109375" style="67" customWidth="1"/>
    <col min="6" max="6" width="9.140625" style="67" customWidth="1"/>
    <col min="7" max="7" width="10.7109375" style="67" customWidth="1"/>
    <col min="8" max="16384" width="9.140625" style="67" customWidth="1"/>
  </cols>
  <sheetData>
    <row r="1" spans="5:7" ht="23.25">
      <c r="E1" s="179" t="s">
        <v>360</v>
      </c>
      <c r="G1" s="67" t="s">
        <v>3</v>
      </c>
    </row>
    <row r="2" spans="1:7" ht="23.25">
      <c r="A2" s="650" t="s">
        <v>330</v>
      </c>
      <c r="B2" s="650"/>
      <c r="C2" s="650"/>
      <c r="D2" s="650"/>
      <c r="E2" s="650"/>
      <c r="F2" s="68"/>
      <c r="G2" s="68"/>
    </row>
    <row r="3" spans="1:7" ht="23.25">
      <c r="A3" s="650" t="s">
        <v>354</v>
      </c>
      <c r="B3" s="650"/>
      <c r="C3" s="650"/>
      <c r="D3" s="650"/>
      <c r="E3" s="650"/>
      <c r="F3" s="68"/>
      <c r="G3" s="68"/>
    </row>
    <row r="4" spans="1:7" ht="23.25">
      <c r="A4" s="650" t="s">
        <v>361</v>
      </c>
      <c r="B4" s="650"/>
      <c r="C4" s="650"/>
      <c r="D4" s="650"/>
      <c r="E4" s="650"/>
      <c r="F4" s="68"/>
      <c r="G4" s="68"/>
    </row>
    <row r="5" spans="1:7" ht="23.25">
      <c r="A5" s="650" t="s">
        <v>321</v>
      </c>
      <c r="B5" s="650"/>
      <c r="C5" s="650"/>
      <c r="D5" s="650"/>
      <c r="E5" s="650"/>
      <c r="F5" s="68"/>
      <c r="G5" s="68"/>
    </row>
    <row r="6" spans="1:7" ht="23.25">
      <c r="A6" s="60"/>
      <c r="B6" s="60"/>
      <c r="C6" s="60"/>
      <c r="D6" s="60"/>
      <c r="E6" s="80" t="s">
        <v>355</v>
      </c>
      <c r="F6" s="68"/>
      <c r="G6" s="68"/>
    </row>
    <row r="7" spans="1:5" ht="23.25">
      <c r="A7" s="712" t="s">
        <v>60</v>
      </c>
      <c r="B7" s="714" t="s">
        <v>356</v>
      </c>
      <c r="C7" s="714" t="s">
        <v>357</v>
      </c>
      <c r="D7" s="714" t="s">
        <v>358</v>
      </c>
      <c r="E7" s="671" t="s">
        <v>359</v>
      </c>
    </row>
    <row r="8" spans="1:5" ht="23.25">
      <c r="A8" s="713"/>
      <c r="B8" s="715" t="s">
        <v>62</v>
      </c>
      <c r="C8" s="715" t="s">
        <v>70</v>
      </c>
      <c r="D8" s="715"/>
      <c r="E8" s="711"/>
    </row>
    <row r="9" spans="1:5" ht="23.25" hidden="1">
      <c r="A9" s="307" t="s">
        <v>9</v>
      </c>
      <c r="B9" s="308"/>
      <c r="C9" s="308"/>
      <c r="D9" s="309"/>
      <c r="E9" s="310"/>
    </row>
    <row r="10" spans="1:5" ht="23.25" hidden="1">
      <c r="A10" s="307" t="s">
        <v>10</v>
      </c>
      <c r="B10" s="308"/>
      <c r="C10" s="308"/>
      <c r="D10" s="309"/>
      <c r="E10" s="310"/>
    </row>
    <row r="11" spans="1:5" ht="23.25" hidden="1">
      <c r="A11" s="307" t="s">
        <v>11</v>
      </c>
      <c r="B11" s="311"/>
      <c r="C11" s="311"/>
      <c r="D11" s="309"/>
      <c r="E11" s="310"/>
    </row>
    <row r="12" spans="1:5" ht="23.25" hidden="1">
      <c r="A12" s="307" t="s">
        <v>12</v>
      </c>
      <c r="B12" s="311"/>
      <c r="C12" s="311"/>
      <c r="D12" s="309"/>
      <c r="E12" s="310"/>
    </row>
    <row r="13" spans="1:5" ht="23.25" hidden="1">
      <c r="A13" s="71" t="s">
        <v>13</v>
      </c>
      <c r="B13" s="72"/>
      <c r="C13" s="72"/>
      <c r="D13" s="181"/>
      <c r="E13" s="310"/>
    </row>
    <row r="14" spans="1:5" ht="23.25" hidden="1">
      <c r="A14" s="71" t="s">
        <v>43</v>
      </c>
      <c r="B14" s="72"/>
      <c r="C14" s="72"/>
      <c r="D14" s="181"/>
      <c r="E14" s="310"/>
    </row>
    <row r="15" spans="1:5" ht="23.25" hidden="1">
      <c r="A15" s="71" t="s">
        <v>16</v>
      </c>
      <c r="B15" s="72"/>
      <c r="C15" s="72"/>
      <c r="D15" s="181"/>
      <c r="E15" s="310"/>
    </row>
    <row r="16" spans="1:5" ht="23.25" hidden="1">
      <c r="A16" s="71" t="s">
        <v>8</v>
      </c>
      <c r="B16" s="72"/>
      <c r="C16" s="72"/>
      <c r="D16" s="181"/>
      <c r="E16" s="310"/>
    </row>
    <row r="17" spans="1:5" ht="24.75" customHeight="1" hidden="1">
      <c r="A17" s="312" t="s">
        <v>14</v>
      </c>
      <c r="B17" s="72"/>
      <c r="C17" s="72"/>
      <c r="D17" s="181"/>
      <c r="E17" s="310"/>
    </row>
    <row r="18" spans="1:5" ht="24.75" customHeight="1">
      <c r="A18" s="313" t="s">
        <v>139</v>
      </c>
      <c r="B18" s="72">
        <v>3460000</v>
      </c>
      <c r="C18" s="72">
        <v>3349000</v>
      </c>
      <c r="D18" s="181">
        <v>0</v>
      </c>
      <c r="E18" s="310">
        <f>C18-D18</f>
        <v>3349000</v>
      </c>
    </row>
    <row r="19" spans="1:5" ht="24.75" customHeight="1">
      <c r="A19" s="313"/>
      <c r="B19" s="72"/>
      <c r="C19" s="72"/>
      <c r="D19" s="181"/>
      <c r="E19" s="310"/>
    </row>
    <row r="20" spans="1:5" ht="24.75" customHeight="1">
      <c r="A20" s="313"/>
      <c r="B20" s="72"/>
      <c r="C20" s="72"/>
      <c r="D20" s="181"/>
      <c r="E20" s="310"/>
    </row>
    <row r="21" spans="1:5" ht="24.75" customHeight="1">
      <c r="A21" s="313"/>
      <c r="B21" s="72"/>
      <c r="C21" s="72"/>
      <c r="D21" s="181"/>
      <c r="E21" s="310"/>
    </row>
    <row r="22" spans="1:5" ht="24.75" customHeight="1">
      <c r="A22" s="313"/>
      <c r="B22" s="72"/>
      <c r="C22" s="72"/>
      <c r="D22" s="181"/>
      <c r="E22" s="310"/>
    </row>
    <row r="23" spans="1:5" ht="23.25">
      <c r="A23" s="314"/>
      <c r="B23" s="315"/>
      <c r="C23" s="315"/>
      <c r="D23" s="316"/>
      <c r="E23" s="316"/>
    </row>
    <row r="24" spans="1:5" ht="24" thickBot="1">
      <c r="A24" s="57" t="s">
        <v>4</v>
      </c>
      <c r="B24" s="317">
        <f>SUM(B9:B18)</f>
        <v>3460000</v>
      </c>
      <c r="C24" s="317">
        <f>SUM(C9:C18)</f>
        <v>3349000</v>
      </c>
      <c r="D24" s="317">
        <f>SUM(D9:D18)</f>
        <v>0</v>
      </c>
      <c r="E24" s="317">
        <f>SUM(E9:E18)</f>
        <v>3349000</v>
      </c>
    </row>
    <row r="25" spans="4:5" ht="24" thickTop="1">
      <c r="D25" s="84"/>
      <c r="E25" s="84"/>
    </row>
  </sheetData>
  <sheetProtection/>
  <mergeCells count="9">
    <mergeCell ref="E7:E8"/>
    <mergeCell ref="A7:A8"/>
    <mergeCell ref="B7:B8"/>
    <mergeCell ref="C7:C8"/>
    <mergeCell ref="D7:D8"/>
    <mergeCell ref="A2:E2"/>
    <mergeCell ref="A3:E3"/>
    <mergeCell ref="A4:E4"/>
    <mergeCell ref="A5:E5"/>
  </mergeCells>
  <printOptions/>
  <pageMargins left="0.75" right="0.39" top="0.75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9" sqref="B19"/>
    </sheetView>
  </sheetViews>
  <sheetFormatPr defaultColWidth="9.140625" defaultRowHeight="23.25"/>
  <cols>
    <col min="1" max="1" width="14.57421875" style="4" bestFit="1" customWidth="1"/>
    <col min="2" max="2" width="18.00390625" style="0" customWidth="1"/>
    <col min="3" max="3" width="14.00390625" style="4" customWidth="1"/>
    <col min="4" max="4" width="12.28125" style="4" bestFit="1" customWidth="1"/>
    <col min="5" max="5" width="11.421875" style="4" customWidth="1"/>
    <col min="6" max="6" width="11.7109375" style="4" customWidth="1"/>
    <col min="7" max="7" width="12.28125" style="4" bestFit="1" customWidth="1"/>
  </cols>
  <sheetData>
    <row r="1" spans="1:7" ht="23.25">
      <c r="A1" s="716" t="s">
        <v>209</v>
      </c>
      <c r="B1" s="716"/>
      <c r="C1" s="716"/>
      <c r="D1" s="716"/>
      <c r="E1" s="716"/>
      <c r="F1" s="716"/>
      <c r="G1" s="716"/>
    </row>
    <row r="2" spans="1:7" ht="23.25">
      <c r="A2" s="716" t="s">
        <v>249</v>
      </c>
      <c r="B2" s="716"/>
      <c r="C2" s="716"/>
      <c r="D2" s="716"/>
      <c r="E2" s="716"/>
      <c r="F2" s="716"/>
      <c r="G2" s="716"/>
    </row>
    <row r="3" spans="1:7" ht="23.25">
      <c r="A3" s="717" t="s">
        <v>250</v>
      </c>
      <c r="B3" s="717"/>
      <c r="C3" s="717"/>
      <c r="D3" s="717"/>
      <c r="E3" s="717"/>
      <c r="F3" s="717"/>
      <c r="G3" s="717"/>
    </row>
    <row r="4" spans="1:7" ht="23.25">
      <c r="A4" s="76" t="s">
        <v>31</v>
      </c>
      <c r="B4" s="718" t="s">
        <v>246</v>
      </c>
      <c r="C4" s="718"/>
      <c r="D4" s="719" t="s">
        <v>244</v>
      </c>
      <c r="E4" s="719" t="s">
        <v>69</v>
      </c>
      <c r="F4" s="719" t="s">
        <v>245</v>
      </c>
      <c r="G4" s="76" t="s">
        <v>247</v>
      </c>
    </row>
    <row r="5" spans="1:7" ht="23.25">
      <c r="A5" s="5" t="s">
        <v>242</v>
      </c>
      <c r="B5" s="230" t="s">
        <v>243</v>
      </c>
      <c r="C5" s="231" t="s">
        <v>28</v>
      </c>
      <c r="D5" s="719"/>
      <c r="E5" s="719"/>
      <c r="F5" s="719"/>
      <c r="G5" s="5" t="s">
        <v>248</v>
      </c>
    </row>
    <row r="6" spans="1:7" ht="23.25">
      <c r="A6" s="232">
        <v>517817.61</v>
      </c>
      <c r="B6" s="233" t="s">
        <v>9</v>
      </c>
      <c r="C6" s="232">
        <v>350150</v>
      </c>
      <c r="D6" s="232">
        <v>2522.95</v>
      </c>
      <c r="E6" s="232">
        <v>0</v>
      </c>
      <c r="F6" s="232">
        <v>0</v>
      </c>
      <c r="G6" s="232">
        <v>0</v>
      </c>
    </row>
    <row r="7" spans="1:7" ht="23.25">
      <c r="A7" s="6"/>
      <c r="B7" s="7" t="s">
        <v>27</v>
      </c>
      <c r="C7" s="6">
        <v>22050</v>
      </c>
      <c r="D7" s="6"/>
      <c r="E7" s="6"/>
      <c r="F7" s="6"/>
      <c r="G7" s="6"/>
    </row>
    <row r="8" spans="1:7" ht="23.25">
      <c r="A8" s="6"/>
      <c r="B8" s="7" t="s">
        <v>10</v>
      </c>
      <c r="C8" s="6">
        <v>118380</v>
      </c>
      <c r="D8" s="6"/>
      <c r="E8" s="6"/>
      <c r="F8" s="6"/>
      <c r="G8" s="6"/>
    </row>
    <row r="9" spans="1:7" ht="23.25">
      <c r="A9" s="6"/>
      <c r="B9" s="7" t="s">
        <v>13</v>
      </c>
      <c r="C9" s="6">
        <v>500</v>
      </c>
      <c r="D9" s="6"/>
      <c r="E9" s="6"/>
      <c r="F9" s="6"/>
      <c r="G9" s="6"/>
    </row>
    <row r="10" spans="1:7" ht="23.25">
      <c r="A10" s="6"/>
      <c r="B10" s="7" t="s">
        <v>43</v>
      </c>
      <c r="C10" s="6">
        <v>24214.66</v>
      </c>
      <c r="D10" s="6"/>
      <c r="E10" s="6"/>
      <c r="F10" s="6"/>
      <c r="G10" s="6"/>
    </row>
    <row r="11" spans="1:7" ht="23.25">
      <c r="A11" s="6"/>
      <c r="B11" s="7"/>
      <c r="C11" s="6"/>
      <c r="D11" s="6"/>
      <c r="E11" s="6"/>
      <c r="F11" s="6"/>
      <c r="G11" s="6"/>
    </row>
    <row r="12" spans="1:7" ht="24" thickBot="1">
      <c r="A12" s="8">
        <f>SUM(A6:A11)</f>
        <v>517817.61</v>
      </c>
      <c r="B12" s="8"/>
      <c r="C12" s="8">
        <f>SUM(C6:C11)</f>
        <v>515294.66</v>
      </c>
      <c r="D12" s="8">
        <f>SUM(A12-C12)</f>
        <v>2522.9500000000116</v>
      </c>
      <c r="E12" s="8">
        <f>SUM(E6:E11)</f>
        <v>0</v>
      </c>
      <c r="F12" s="8">
        <f>SUM(F6:F11)</f>
        <v>0</v>
      </c>
      <c r="G12" s="8">
        <f>SUM(G6:G11)</f>
        <v>0</v>
      </c>
    </row>
    <row r="13" ht="24" thickTop="1"/>
  </sheetData>
  <sheetProtection/>
  <mergeCells count="7">
    <mergeCell ref="A1:G1"/>
    <mergeCell ref="A2:G2"/>
    <mergeCell ref="A3:G3"/>
    <mergeCell ref="B4:C4"/>
    <mergeCell ref="D4:D5"/>
    <mergeCell ref="E4:E5"/>
    <mergeCell ref="F4:F5"/>
  </mergeCells>
  <printOptions/>
  <pageMargins left="0.63" right="0.41" top="0.73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C22" sqref="C22"/>
    </sheetView>
  </sheetViews>
  <sheetFormatPr defaultColWidth="9.140625" defaultRowHeight="23.25"/>
  <cols>
    <col min="1" max="1" width="11.00390625" style="60" customWidth="1"/>
    <col min="2" max="2" width="11.28125" style="147" customWidth="1"/>
    <col min="3" max="3" width="33.57421875" style="61" customWidth="1"/>
    <col min="4" max="4" width="14.421875" style="56" customWidth="1"/>
    <col min="5" max="5" width="14.8515625" style="56" bestFit="1" customWidth="1"/>
    <col min="6" max="6" width="12.421875" style="56" bestFit="1" customWidth="1"/>
    <col min="7" max="7" width="13.28125" style="49" customWidth="1"/>
    <col min="8" max="8" width="12.421875" style="49" customWidth="1"/>
    <col min="9" max="9" width="10.00390625" style="49" customWidth="1"/>
    <col min="10" max="10" width="13.28125" style="62" bestFit="1" customWidth="1"/>
    <col min="11" max="11" width="12.421875" style="62" bestFit="1" customWidth="1"/>
    <col min="12" max="12" width="13.28125" style="49" hidden="1" customWidth="1"/>
    <col min="13" max="13" width="11.7109375" style="49" hidden="1" customWidth="1"/>
    <col min="14" max="14" width="13.8515625" style="49" hidden="1" customWidth="1"/>
    <col min="15" max="15" width="12.7109375" style="49" customWidth="1"/>
    <col min="16" max="16" width="9.140625" style="16" customWidth="1"/>
    <col min="17" max="17" width="9.8515625" style="16" customWidth="1"/>
    <col min="18" max="16384" width="9.140625" style="16" customWidth="1"/>
  </cols>
  <sheetData>
    <row r="1" spans="1:15" ht="23.25">
      <c r="A1" s="653" t="s">
        <v>209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96"/>
      <c r="N1" s="96"/>
      <c r="O1" s="96"/>
    </row>
    <row r="2" spans="1:15" ht="23.25">
      <c r="A2" s="653" t="s">
        <v>104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96"/>
      <c r="N2" s="96"/>
      <c r="O2" s="96"/>
    </row>
    <row r="3" spans="1:15" ht="23.25">
      <c r="A3" s="720" t="s">
        <v>173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128"/>
      <c r="N3" s="128"/>
      <c r="O3" s="128"/>
    </row>
    <row r="4" spans="1:15" s="17" customFormat="1" ht="23.25">
      <c r="A4" s="721" t="s">
        <v>105</v>
      </c>
      <c r="B4" s="722" t="s">
        <v>106</v>
      </c>
      <c r="C4" s="721" t="s">
        <v>60</v>
      </c>
      <c r="D4" s="723" t="s">
        <v>28</v>
      </c>
      <c r="E4" s="723"/>
      <c r="F4" s="724" t="s">
        <v>107</v>
      </c>
      <c r="G4" s="725" t="s">
        <v>108</v>
      </c>
      <c r="H4" s="725" t="s">
        <v>109</v>
      </c>
      <c r="I4" s="725" t="s">
        <v>89</v>
      </c>
      <c r="J4" s="725" t="s">
        <v>110</v>
      </c>
      <c r="K4" s="725" t="s">
        <v>111</v>
      </c>
      <c r="L4" s="728" t="s">
        <v>112</v>
      </c>
      <c r="M4" s="129" t="s">
        <v>113</v>
      </c>
      <c r="N4" s="725" t="s">
        <v>114</v>
      </c>
      <c r="O4" s="726" t="s">
        <v>8</v>
      </c>
    </row>
    <row r="5" spans="1:15" s="17" customFormat="1" ht="23.25">
      <c r="A5" s="721"/>
      <c r="B5" s="722"/>
      <c r="C5" s="721"/>
      <c r="D5" s="83" t="s">
        <v>115</v>
      </c>
      <c r="E5" s="83" t="s">
        <v>77</v>
      </c>
      <c r="F5" s="724"/>
      <c r="G5" s="725"/>
      <c r="H5" s="725"/>
      <c r="I5" s="725"/>
      <c r="J5" s="725"/>
      <c r="K5" s="725"/>
      <c r="L5" s="729"/>
      <c r="M5" s="129"/>
      <c r="N5" s="725"/>
      <c r="O5" s="727"/>
    </row>
    <row r="6" spans="1:16" ht="23.25">
      <c r="A6" s="18"/>
      <c r="B6" s="130"/>
      <c r="C6" s="50" t="s">
        <v>8</v>
      </c>
      <c r="D6" s="19"/>
      <c r="E6" s="19"/>
      <c r="F6" s="19"/>
      <c r="G6" s="20"/>
      <c r="H6" s="20"/>
      <c r="I6" s="20"/>
      <c r="J6" s="21"/>
      <c r="K6" s="20"/>
      <c r="L6" s="20"/>
      <c r="M6" s="22"/>
      <c r="N6" s="22"/>
      <c r="O6" s="36"/>
      <c r="P6" s="23"/>
    </row>
    <row r="7" spans="1:15" ht="23.25">
      <c r="A7" s="70" t="s">
        <v>174</v>
      </c>
      <c r="B7" s="131">
        <v>39368</v>
      </c>
      <c r="C7" s="132" t="s">
        <v>235</v>
      </c>
      <c r="D7" s="133">
        <v>760</v>
      </c>
      <c r="E7" s="94"/>
      <c r="F7" s="133"/>
      <c r="G7" s="72"/>
      <c r="H7" s="72"/>
      <c r="I7" s="72"/>
      <c r="J7" s="134"/>
      <c r="K7" s="72"/>
      <c r="L7" s="72"/>
      <c r="M7" s="24"/>
      <c r="N7" s="24"/>
      <c r="O7" s="72">
        <v>760</v>
      </c>
    </row>
    <row r="8" spans="1:15" ht="23.25">
      <c r="A8" s="25"/>
      <c r="B8" s="135"/>
      <c r="C8" s="136"/>
      <c r="D8" s="27"/>
      <c r="E8" s="27"/>
      <c r="F8" s="27"/>
      <c r="G8" s="24"/>
      <c r="H8" s="24"/>
      <c r="I8" s="24"/>
      <c r="J8" s="28"/>
      <c r="K8" s="24"/>
      <c r="L8" s="24"/>
      <c r="M8" s="24"/>
      <c r="N8" s="24"/>
      <c r="O8" s="24"/>
    </row>
    <row r="9" spans="1:15" s="32" customFormat="1" ht="23.25">
      <c r="A9" s="29"/>
      <c r="B9" s="137"/>
      <c r="C9" s="29" t="s">
        <v>116</v>
      </c>
      <c r="D9" s="30">
        <f aca="true" t="shared" si="0" ref="D9:O9">SUM(D6:D8)</f>
        <v>760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  <c r="M9" s="30">
        <f t="shared" si="0"/>
        <v>0</v>
      </c>
      <c r="N9" s="30">
        <f t="shared" si="0"/>
        <v>0</v>
      </c>
      <c r="O9" s="30">
        <f t="shared" si="0"/>
        <v>760</v>
      </c>
    </row>
    <row r="10" spans="1:16" ht="23.25" hidden="1">
      <c r="A10" s="33"/>
      <c r="B10" s="138"/>
      <c r="C10" s="34" t="s">
        <v>9</v>
      </c>
      <c r="D10" s="35"/>
      <c r="E10" s="35"/>
      <c r="F10" s="35"/>
      <c r="G10" s="36"/>
      <c r="H10" s="36"/>
      <c r="I10" s="36"/>
      <c r="J10" s="37"/>
      <c r="K10" s="36"/>
      <c r="L10" s="36"/>
      <c r="M10" s="20"/>
      <c r="N10" s="20"/>
      <c r="O10" s="20"/>
      <c r="P10" s="23"/>
    </row>
    <row r="11" spans="1:15" ht="23.25" hidden="1">
      <c r="A11" s="42"/>
      <c r="B11" s="140"/>
      <c r="C11" s="43"/>
      <c r="D11" s="44"/>
      <c r="E11" s="44"/>
      <c r="F11" s="44"/>
      <c r="G11" s="45"/>
      <c r="H11" s="45"/>
      <c r="I11" s="45"/>
      <c r="J11" s="46"/>
      <c r="K11" s="45"/>
      <c r="L11" s="45"/>
      <c r="M11" s="72"/>
      <c r="N11" s="72"/>
      <c r="O11" s="22"/>
    </row>
    <row r="12" spans="1:16" s="32" customFormat="1" ht="23.25" hidden="1">
      <c r="A12" s="29"/>
      <c r="B12" s="137"/>
      <c r="C12" s="29" t="s">
        <v>118</v>
      </c>
      <c r="D12" s="30">
        <f aca="true" t="shared" si="1" ref="D12:O12">SUM(D10:D11)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64"/>
    </row>
    <row r="13" spans="1:15" ht="23.25" hidden="1">
      <c r="A13" s="33"/>
      <c r="B13" s="138"/>
      <c r="C13" s="34" t="s">
        <v>27</v>
      </c>
      <c r="D13" s="35"/>
      <c r="E13" s="35"/>
      <c r="F13" s="35"/>
      <c r="G13" s="36"/>
      <c r="H13" s="36"/>
      <c r="I13" s="36"/>
      <c r="J13" s="37"/>
      <c r="K13" s="36"/>
      <c r="L13" s="36"/>
      <c r="M13" s="22"/>
      <c r="N13" s="22"/>
      <c r="O13" s="22"/>
    </row>
    <row r="14" spans="1:15" ht="23.25" hidden="1">
      <c r="A14" s="42"/>
      <c r="B14" s="140"/>
      <c r="C14" s="42"/>
      <c r="D14" s="44"/>
      <c r="E14" s="44"/>
      <c r="F14" s="44"/>
      <c r="G14" s="45"/>
      <c r="H14" s="45"/>
      <c r="I14" s="45"/>
      <c r="J14" s="46"/>
      <c r="K14" s="45"/>
      <c r="L14" s="45"/>
      <c r="M14" s="22"/>
      <c r="N14" s="22"/>
      <c r="O14" s="22"/>
    </row>
    <row r="15" spans="1:15" s="32" customFormat="1" ht="23.25" hidden="1">
      <c r="A15" s="29"/>
      <c r="B15" s="137"/>
      <c r="C15" s="29" t="s">
        <v>119</v>
      </c>
      <c r="D15" s="30">
        <f aca="true" t="shared" si="2" ref="D15:O15">SUM(D14:D14)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</row>
    <row r="16" spans="1:15" ht="23.25">
      <c r="A16" s="33"/>
      <c r="B16" s="138"/>
      <c r="C16" s="34" t="s">
        <v>10</v>
      </c>
      <c r="D16" s="35"/>
      <c r="E16" s="35"/>
      <c r="F16" s="35"/>
      <c r="G16" s="36"/>
      <c r="H16" s="36"/>
      <c r="I16" s="36"/>
      <c r="J16" s="37"/>
      <c r="K16" s="36"/>
      <c r="L16" s="36"/>
      <c r="M16" s="22"/>
      <c r="N16" s="22"/>
      <c r="O16" s="22"/>
    </row>
    <row r="17" spans="1:15" ht="23.25">
      <c r="A17" s="38" t="s">
        <v>175</v>
      </c>
      <c r="B17" s="139">
        <v>39003</v>
      </c>
      <c r="C17" s="39" t="s">
        <v>117</v>
      </c>
      <c r="D17" s="40">
        <v>18200</v>
      </c>
      <c r="E17" s="40"/>
      <c r="F17" s="22"/>
      <c r="G17" s="22"/>
      <c r="H17" s="22">
        <v>18200</v>
      </c>
      <c r="I17" s="22"/>
      <c r="J17" s="41"/>
      <c r="K17" s="22"/>
      <c r="L17" s="22"/>
      <c r="M17" s="22"/>
      <c r="N17" s="22"/>
      <c r="O17" s="22"/>
    </row>
    <row r="18" spans="1:15" ht="18.75" customHeight="1">
      <c r="A18" s="42"/>
      <c r="B18" s="140"/>
      <c r="C18" s="42"/>
      <c r="D18" s="44"/>
      <c r="E18" s="44"/>
      <c r="F18" s="44"/>
      <c r="G18" s="45"/>
      <c r="H18" s="45"/>
      <c r="I18" s="45"/>
      <c r="J18" s="46"/>
      <c r="K18" s="45"/>
      <c r="L18" s="45"/>
      <c r="M18" s="22"/>
      <c r="N18" s="22"/>
      <c r="O18" s="22"/>
    </row>
    <row r="19" spans="1:15" s="32" customFormat="1" ht="23.25">
      <c r="A19" s="29"/>
      <c r="B19" s="137"/>
      <c r="C19" s="29" t="s">
        <v>120</v>
      </c>
      <c r="D19" s="30">
        <f aca="true" t="shared" si="3" ref="D19:O19">SUM(D17:D18)</f>
        <v>18200</v>
      </c>
      <c r="E19" s="30">
        <f t="shared" si="3"/>
        <v>0</v>
      </c>
      <c r="F19" s="30">
        <f t="shared" si="3"/>
        <v>0</v>
      </c>
      <c r="G19" s="30">
        <f t="shared" si="3"/>
        <v>0</v>
      </c>
      <c r="H19" s="30">
        <f t="shared" si="3"/>
        <v>18200</v>
      </c>
      <c r="I19" s="30">
        <f t="shared" si="3"/>
        <v>0</v>
      </c>
      <c r="J19" s="30">
        <f t="shared" si="3"/>
        <v>0</v>
      </c>
      <c r="K19" s="30">
        <f t="shared" si="3"/>
        <v>0</v>
      </c>
      <c r="L19" s="30">
        <f t="shared" si="3"/>
        <v>0</v>
      </c>
      <c r="M19" s="30">
        <f t="shared" si="3"/>
        <v>0</v>
      </c>
      <c r="N19" s="30">
        <f t="shared" si="3"/>
        <v>0</v>
      </c>
      <c r="O19" s="30">
        <f t="shared" si="3"/>
        <v>0</v>
      </c>
    </row>
    <row r="20" spans="1:16" ht="23.25">
      <c r="A20" s="33"/>
      <c r="B20" s="138"/>
      <c r="C20" s="34" t="s">
        <v>11</v>
      </c>
      <c r="D20" s="35"/>
      <c r="E20" s="35"/>
      <c r="F20" s="35"/>
      <c r="G20" s="36"/>
      <c r="H20" s="36"/>
      <c r="I20" s="36"/>
      <c r="J20" s="37"/>
      <c r="K20" s="36"/>
      <c r="L20" s="36"/>
      <c r="M20" s="22"/>
      <c r="N20" s="22"/>
      <c r="O20" s="22"/>
      <c r="P20" s="23"/>
    </row>
    <row r="21" spans="1:15" ht="23.25">
      <c r="A21" s="38" t="s">
        <v>176</v>
      </c>
      <c r="B21" s="139">
        <v>39036</v>
      </c>
      <c r="C21" s="39" t="s">
        <v>177</v>
      </c>
      <c r="D21" s="40">
        <v>1900</v>
      </c>
      <c r="E21" s="40"/>
      <c r="F21" s="40"/>
      <c r="G21" s="22"/>
      <c r="H21" s="22">
        <v>1900</v>
      </c>
      <c r="I21" s="22"/>
      <c r="J21" s="41"/>
      <c r="K21" s="22"/>
      <c r="L21" s="22"/>
      <c r="M21" s="47"/>
      <c r="N21" s="22"/>
      <c r="O21" s="22"/>
    </row>
    <row r="22" spans="1:15" ht="23.25">
      <c r="A22" s="48" t="s">
        <v>178</v>
      </c>
      <c r="B22" s="139">
        <v>39070</v>
      </c>
      <c r="C22" s="39" t="s">
        <v>179</v>
      </c>
      <c r="D22" s="40">
        <v>164275</v>
      </c>
      <c r="E22" s="40"/>
      <c r="F22" s="40"/>
      <c r="G22" s="22"/>
      <c r="H22" s="22"/>
      <c r="I22" s="22"/>
      <c r="J22" s="41">
        <v>164275</v>
      </c>
      <c r="K22" s="22"/>
      <c r="L22" s="22"/>
      <c r="M22" s="47"/>
      <c r="N22" s="22"/>
      <c r="O22" s="22"/>
    </row>
    <row r="23" spans="1:15" ht="23.25">
      <c r="A23" s="38" t="s">
        <v>180</v>
      </c>
      <c r="B23" s="139">
        <v>39070</v>
      </c>
      <c r="C23" s="39" t="s">
        <v>179</v>
      </c>
      <c r="D23" s="40">
        <v>126812</v>
      </c>
      <c r="E23" s="40"/>
      <c r="F23" s="40"/>
      <c r="G23" s="22"/>
      <c r="H23" s="22">
        <v>126812</v>
      </c>
      <c r="I23" s="22"/>
      <c r="J23" s="41"/>
      <c r="K23" s="22"/>
      <c r="L23" s="22"/>
      <c r="M23" s="47"/>
      <c r="N23" s="22"/>
      <c r="O23" s="22"/>
    </row>
    <row r="24" spans="1:15" ht="23.25">
      <c r="A24" s="38" t="s">
        <v>181</v>
      </c>
      <c r="B24" s="139">
        <v>39070</v>
      </c>
      <c r="C24" s="39" t="s">
        <v>179</v>
      </c>
      <c r="D24" s="40">
        <v>156565</v>
      </c>
      <c r="E24" s="40"/>
      <c r="F24" s="40">
        <v>156565</v>
      </c>
      <c r="G24" s="22"/>
      <c r="H24" s="22"/>
      <c r="I24" s="22"/>
      <c r="J24" s="41"/>
      <c r="K24" s="22"/>
      <c r="L24" s="22"/>
      <c r="M24" s="47"/>
      <c r="N24" s="22"/>
      <c r="O24" s="22"/>
    </row>
    <row r="25" spans="1:15" ht="23.25">
      <c r="A25" s="38" t="s">
        <v>182</v>
      </c>
      <c r="B25" s="139">
        <v>39070</v>
      </c>
      <c r="C25" s="39" t="s">
        <v>179</v>
      </c>
      <c r="D25" s="40">
        <v>282156</v>
      </c>
      <c r="E25" s="40"/>
      <c r="F25" s="40">
        <v>282156</v>
      </c>
      <c r="G25" s="22"/>
      <c r="H25" s="22"/>
      <c r="I25" s="22"/>
      <c r="J25" s="41"/>
      <c r="K25" s="22"/>
      <c r="L25" s="22"/>
      <c r="M25" s="47"/>
      <c r="N25" s="22"/>
      <c r="O25" s="22"/>
    </row>
    <row r="26" spans="1:15" ht="23.25">
      <c r="A26" s="38" t="s">
        <v>183</v>
      </c>
      <c r="B26" s="139">
        <v>39070</v>
      </c>
      <c r="C26" s="39" t="s">
        <v>179</v>
      </c>
      <c r="D26" s="40">
        <v>28740</v>
      </c>
      <c r="E26" s="40"/>
      <c r="F26" s="40"/>
      <c r="G26" s="40">
        <v>28740</v>
      </c>
      <c r="H26" s="22"/>
      <c r="I26" s="22"/>
      <c r="J26" s="41"/>
      <c r="K26" s="22"/>
      <c r="L26" s="22"/>
      <c r="M26" s="47"/>
      <c r="N26" s="22"/>
      <c r="O26" s="22"/>
    </row>
    <row r="27" spans="1:15" ht="23.25">
      <c r="A27" s="38" t="s">
        <v>184</v>
      </c>
      <c r="B27" s="139">
        <v>39070</v>
      </c>
      <c r="C27" s="39" t="s">
        <v>179</v>
      </c>
      <c r="D27" s="40">
        <v>75816</v>
      </c>
      <c r="E27" s="40"/>
      <c r="F27" s="40"/>
      <c r="G27" s="22"/>
      <c r="H27" s="22"/>
      <c r="I27" s="22">
        <v>75816</v>
      </c>
      <c r="J27" s="41"/>
      <c r="K27" s="22"/>
      <c r="L27" s="22"/>
      <c r="M27" s="47"/>
      <c r="N27" s="22"/>
      <c r="O27" s="22"/>
    </row>
    <row r="28" spans="1:15" ht="23.25">
      <c r="A28" s="38" t="s">
        <v>185</v>
      </c>
      <c r="B28" s="139">
        <v>39065</v>
      </c>
      <c r="C28" s="39" t="s">
        <v>177</v>
      </c>
      <c r="D28" s="40">
        <v>1900</v>
      </c>
      <c r="E28" s="40"/>
      <c r="F28" s="40"/>
      <c r="G28" s="22"/>
      <c r="H28" s="22">
        <v>1900</v>
      </c>
      <c r="I28" s="22"/>
      <c r="J28" s="41"/>
      <c r="K28" s="22"/>
      <c r="L28" s="22"/>
      <c r="M28" s="47"/>
      <c r="N28" s="141"/>
      <c r="O28" s="22"/>
    </row>
    <row r="29" spans="1:15" ht="23.25">
      <c r="A29" s="38" t="s">
        <v>130</v>
      </c>
      <c r="B29" s="139">
        <v>39086</v>
      </c>
      <c r="C29" s="39" t="s">
        <v>177</v>
      </c>
      <c r="D29" s="40">
        <v>1900</v>
      </c>
      <c r="E29" s="40"/>
      <c r="F29" s="40"/>
      <c r="G29" s="22"/>
      <c r="H29" s="22">
        <v>1900</v>
      </c>
      <c r="I29" s="22"/>
      <c r="J29" s="41"/>
      <c r="K29" s="22"/>
      <c r="L29" s="22"/>
      <c r="M29" s="47"/>
      <c r="N29" s="141"/>
      <c r="O29" s="22"/>
    </row>
    <row r="30" spans="1:15" ht="23.25">
      <c r="A30" s="38" t="s">
        <v>186</v>
      </c>
      <c r="B30" s="139">
        <v>39119</v>
      </c>
      <c r="C30" s="39" t="s">
        <v>177</v>
      </c>
      <c r="D30" s="40">
        <v>1900</v>
      </c>
      <c r="E30" s="40"/>
      <c r="F30" s="40"/>
      <c r="G30" s="22"/>
      <c r="H30" s="22">
        <v>1900</v>
      </c>
      <c r="I30" s="22"/>
      <c r="J30" s="41"/>
      <c r="K30" s="22"/>
      <c r="L30" s="22"/>
      <c r="M30" s="47"/>
      <c r="N30" s="141"/>
      <c r="O30" s="22"/>
    </row>
    <row r="31" spans="1:15" ht="23.25">
      <c r="A31" s="38" t="s">
        <v>187</v>
      </c>
      <c r="B31" s="139">
        <v>39122</v>
      </c>
      <c r="C31" s="39" t="s">
        <v>177</v>
      </c>
      <c r="D31" s="40">
        <v>2000</v>
      </c>
      <c r="E31" s="40"/>
      <c r="F31" s="40"/>
      <c r="G31" s="22"/>
      <c r="H31" s="22"/>
      <c r="I31" s="22"/>
      <c r="J31" s="41">
        <v>2000</v>
      </c>
      <c r="K31" s="22"/>
      <c r="L31" s="22"/>
      <c r="M31" s="47"/>
      <c r="N31" s="141"/>
      <c r="O31" s="22"/>
    </row>
    <row r="32" spans="1:15" ht="23.25">
      <c r="A32" s="25" t="s">
        <v>188</v>
      </c>
      <c r="B32" s="135">
        <v>39147</v>
      </c>
      <c r="C32" s="39" t="s">
        <v>177</v>
      </c>
      <c r="D32" s="27">
        <v>1900</v>
      </c>
      <c r="E32" s="27"/>
      <c r="F32" s="27"/>
      <c r="G32" s="24"/>
      <c r="H32" s="24">
        <v>1900</v>
      </c>
      <c r="I32" s="24"/>
      <c r="J32" s="28"/>
      <c r="K32" s="24"/>
      <c r="L32" s="24"/>
      <c r="M32" s="47"/>
      <c r="N32" s="141"/>
      <c r="O32" s="22"/>
    </row>
    <row r="33" spans="1:15" ht="23.25">
      <c r="A33" s="25" t="s">
        <v>131</v>
      </c>
      <c r="B33" s="135">
        <v>39147</v>
      </c>
      <c r="C33" s="39" t="s">
        <v>177</v>
      </c>
      <c r="D33" s="27">
        <v>2000</v>
      </c>
      <c r="E33" s="27"/>
      <c r="F33" s="27"/>
      <c r="G33" s="24"/>
      <c r="H33" s="24"/>
      <c r="I33" s="24"/>
      <c r="J33" s="28">
        <v>2000</v>
      </c>
      <c r="K33" s="24"/>
      <c r="L33" s="24"/>
      <c r="M33" s="47"/>
      <c r="N33" s="141"/>
      <c r="O33" s="22"/>
    </row>
    <row r="34" spans="1:15" ht="23.25">
      <c r="A34" s="25" t="s">
        <v>189</v>
      </c>
      <c r="B34" s="135">
        <v>39144</v>
      </c>
      <c r="C34" s="39" t="s">
        <v>177</v>
      </c>
      <c r="D34" s="27">
        <v>1900</v>
      </c>
      <c r="E34" s="27"/>
      <c r="F34" s="27"/>
      <c r="G34" s="24"/>
      <c r="H34" s="24">
        <v>1900</v>
      </c>
      <c r="I34" s="24"/>
      <c r="J34" s="28"/>
      <c r="K34" s="24"/>
      <c r="L34" s="24"/>
      <c r="M34" s="47"/>
      <c r="N34" s="141"/>
      <c r="O34" s="22"/>
    </row>
    <row r="35" spans="1:15" ht="23.25">
      <c r="A35" s="25" t="s">
        <v>190</v>
      </c>
      <c r="B35" s="135">
        <v>39182</v>
      </c>
      <c r="C35" s="39" t="s">
        <v>177</v>
      </c>
      <c r="D35" s="27">
        <v>2000</v>
      </c>
      <c r="E35" s="27"/>
      <c r="F35" s="27"/>
      <c r="G35" s="24"/>
      <c r="H35" s="24"/>
      <c r="I35" s="24"/>
      <c r="J35" s="28">
        <v>2000</v>
      </c>
      <c r="K35" s="24"/>
      <c r="L35" s="24"/>
      <c r="M35" s="47"/>
      <c r="N35" s="141"/>
      <c r="O35" s="22"/>
    </row>
    <row r="36" spans="1:15" ht="23.25">
      <c r="A36" s="25" t="s">
        <v>191</v>
      </c>
      <c r="B36" s="135">
        <v>39203</v>
      </c>
      <c r="C36" s="39" t="s">
        <v>177</v>
      </c>
      <c r="D36" s="27">
        <v>1900</v>
      </c>
      <c r="E36" s="27"/>
      <c r="F36" s="27"/>
      <c r="G36" s="24"/>
      <c r="H36" s="24">
        <v>1900</v>
      </c>
      <c r="I36" s="24"/>
      <c r="J36" s="28"/>
      <c r="K36" s="24"/>
      <c r="L36" s="24"/>
      <c r="M36" s="47"/>
      <c r="N36" s="141"/>
      <c r="O36" s="22"/>
    </row>
    <row r="37" spans="1:15" ht="23.25">
      <c r="A37" s="25" t="s">
        <v>192</v>
      </c>
      <c r="B37" s="135">
        <v>39210</v>
      </c>
      <c r="C37" s="39" t="s">
        <v>177</v>
      </c>
      <c r="D37" s="27">
        <v>2000</v>
      </c>
      <c r="E37" s="27"/>
      <c r="F37" s="27"/>
      <c r="G37" s="24"/>
      <c r="H37" s="24"/>
      <c r="I37" s="24"/>
      <c r="J37" s="28">
        <v>2000</v>
      </c>
      <c r="K37" s="24"/>
      <c r="L37" s="24"/>
      <c r="M37" s="47"/>
      <c r="N37" s="141"/>
      <c r="O37" s="22"/>
    </row>
    <row r="38" spans="1:15" ht="23.25">
      <c r="A38" s="25" t="s">
        <v>193</v>
      </c>
      <c r="B38" s="135">
        <v>39237</v>
      </c>
      <c r="C38" s="39" t="s">
        <v>177</v>
      </c>
      <c r="D38" s="27">
        <v>1900</v>
      </c>
      <c r="E38" s="27"/>
      <c r="F38" s="27"/>
      <c r="G38" s="24"/>
      <c r="H38" s="24">
        <v>1900</v>
      </c>
      <c r="I38" s="24"/>
      <c r="J38" s="28"/>
      <c r="K38" s="24"/>
      <c r="L38" s="24"/>
      <c r="M38" s="47"/>
      <c r="N38" s="141"/>
      <c r="O38" s="22"/>
    </row>
    <row r="39" spans="1:15" ht="23.25">
      <c r="A39" s="25" t="s">
        <v>194</v>
      </c>
      <c r="B39" s="135">
        <v>39245</v>
      </c>
      <c r="C39" s="39" t="s">
        <v>177</v>
      </c>
      <c r="D39" s="27">
        <v>2000</v>
      </c>
      <c r="E39" s="27"/>
      <c r="F39" s="27"/>
      <c r="G39" s="24"/>
      <c r="H39" s="24"/>
      <c r="I39" s="24"/>
      <c r="J39" s="28">
        <v>2000</v>
      </c>
      <c r="K39" s="24"/>
      <c r="L39" s="24"/>
      <c r="M39" s="47"/>
      <c r="N39" s="141"/>
      <c r="O39" s="22"/>
    </row>
    <row r="40" spans="1:15" ht="23.25">
      <c r="A40" s="25" t="s">
        <v>195</v>
      </c>
      <c r="B40" s="135">
        <v>39266</v>
      </c>
      <c r="C40" s="39" t="s">
        <v>177</v>
      </c>
      <c r="D40" s="27">
        <v>1900</v>
      </c>
      <c r="E40" s="27"/>
      <c r="F40" s="27"/>
      <c r="G40" s="24"/>
      <c r="H40" s="24">
        <v>1900</v>
      </c>
      <c r="I40" s="24"/>
      <c r="J40" s="28"/>
      <c r="K40" s="24"/>
      <c r="L40" s="24"/>
      <c r="M40" s="47"/>
      <c r="N40" s="141"/>
      <c r="O40" s="22"/>
    </row>
    <row r="41" spans="1:15" ht="23.25">
      <c r="A41" s="25" t="s">
        <v>196</v>
      </c>
      <c r="B41" s="135">
        <v>39269</v>
      </c>
      <c r="C41" s="39" t="s">
        <v>177</v>
      </c>
      <c r="D41" s="27">
        <v>2000</v>
      </c>
      <c r="E41" s="27"/>
      <c r="F41" s="27"/>
      <c r="G41" s="24"/>
      <c r="H41" s="24"/>
      <c r="I41" s="24"/>
      <c r="J41" s="28">
        <v>2000</v>
      </c>
      <c r="K41" s="24"/>
      <c r="L41" s="24"/>
      <c r="M41" s="47"/>
      <c r="N41" s="141"/>
      <c r="O41" s="22"/>
    </row>
    <row r="42" spans="1:15" ht="23.25">
      <c r="A42" s="25" t="s">
        <v>197</v>
      </c>
      <c r="B42" s="135">
        <v>39301</v>
      </c>
      <c r="C42" s="39" t="s">
        <v>177</v>
      </c>
      <c r="D42" s="27">
        <v>2000</v>
      </c>
      <c r="E42" s="27"/>
      <c r="F42" s="27"/>
      <c r="G42" s="24"/>
      <c r="H42" s="24"/>
      <c r="I42" s="24"/>
      <c r="J42" s="28">
        <v>2000</v>
      </c>
      <c r="K42" s="24"/>
      <c r="L42" s="24"/>
      <c r="M42" s="47"/>
      <c r="N42" s="141"/>
      <c r="O42" s="22"/>
    </row>
    <row r="43" spans="1:15" ht="23.25">
      <c r="A43" s="25" t="s">
        <v>198</v>
      </c>
      <c r="B43" s="135">
        <v>39295</v>
      </c>
      <c r="C43" s="39" t="s">
        <v>177</v>
      </c>
      <c r="D43" s="27">
        <v>1900</v>
      </c>
      <c r="E43" s="27"/>
      <c r="F43" s="27"/>
      <c r="G43" s="24"/>
      <c r="H43" s="24">
        <v>1900</v>
      </c>
      <c r="I43" s="24"/>
      <c r="J43" s="28"/>
      <c r="K43" s="24"/>
      <c r="L43" s="24"/>
      <c r="M43" s="47"/>
      <c r="N43" s="141"/>
      <c r="O43" s="22"/>
    </row>
    <row r="44" spans="1:15" ht="23.25">
      <c r="A44" s="25" t="s">
        <v>199</v>
      </c>
      <c r="B44" s="135">
        <v>39329</v>
      </c>
      <c r="C44" s="39" t="s">
        <v>177</v>
      </c>
      <c r="D44" s="27">
        <v>1900</v>
      </c>
      <c r="E44" s="27"/>
      <c r="F44" s="27"/>
      <c r="G44" s="24"/>
      <c r="H44" s="24">
        <v>1900</v>
      </c>
      <c r="I44" s="24"/>
      <c r="J44" s="28"/>
      <c r="K44" s="24"/>
      <c r="L44" s="24"/>
      <c r="M44" s="47"/>
      <c r="N44" s="141"/>
      <c r="O44" s="22"/>
    </row>
    <row r="45" spans="1:15" ht="23.25">
      <c r="A45" s="25" t="s">
        <v>200</v>
      </c>
      <c r="B45" s="135">
        <v>39330</v>
      </c>
      <c r="C45" s="39" t="s">
        <v>177</v>
      </c>
      <c r="D45" s="27">
        <v>2000</v>
      </c>
      <c r="E45" s="27"/>
      <c r="F45" s="27"/>
      <c r="G45" s="22"/>
      <c r="H45" s="24"/>
      <c r="I45" s="24"/>
      <c r="J45" s="28">
        <v>2000</v>
      </c>
      <c r="K45" s="24"/>
      <c r="L45" s="24"/>
      <c r="M45" s="47"/>
      <c r="N45" s="141"/>
      <c r="O45" s="22"/>
    </row>
    <row r="46" spans="1:15" ht="23.25">
      <c r="A46" s="42"/>
      <c r="B46" s="140"/>
      <c r="C46" s="43"/>
      <c r="D46" s="44"/>
      <c r="E46" s="44"/>
      <c r="F46" s="44"/>
      <c r="G46" s="45"/>
      <c r="H46" s="45"/>
      <c r="I46" s="45"/>
      <c r="J46" s="46"/>
      <c r="K46" s="45"/>
      <c r="L46" s="45"/>
      <c r="M46" s="47"/>
      <c r="N46" s="141"/>
      <c r="O46" s="22"/>
    </row>
    <row r="47" spans="1:15" s="32" customFormat="1" ht="23.25" hidden="1">
      <c r="A47" s="29"/>
      <c r="B47" s="137"/>
      <c r="C47" s="29" t="s">
        <v>121</v>
      </c>
      <c r="D47" s="30">
        <f>SUM(D21:D46)</f>
        <v>871264</v>
      </c>
      <c r="E47" s="30">
        <f aca="true" t="shared" si="4" ref="E47:O47">SUM(E21:E46)</f>
        <v>0</v>
      </c>
      <c r="F47" s="30">
        <f t="shared" si="4"/>
        <v>438721</v>
      </c>
      <c r="G47" s="30">
        <f t="shared" si="4"/>
        <v>28740</v>
      </c>
      <c r="H47" s="30">
        <f t="shared" si="4"/>
        <v>147712</v>
      </c>
      <c r="I47" s="30">
        <f t="shared" si="4"/>
        <v>75816</v>
      </c>
      <c r="J47" s="30">
        <f t="shared" si="4"/>
        <v>180275</v>
      </c>
      <c r="K47" s="30">
        <f t="shared" si="4"/>
        <v>0</v>
      </c>
      <c r="L47" s="30">
        <f t="shared" si="4"/>
        <v>0</v>
      </c>
      <c r="M47" s="30">
        <f t="shared" si="4"/>
        <v>0</v>
      </c>
      <c r="N47" s="30">
        <f t="shared" si="4"/>
        <v>0</v>
      </c>
      <c r="O47" s="30">
        <f t="shared" si="4"/>
        <v>0</v>
      </c>
    </row>
    <row r="48" spans="1:16" ht="23.25" hidden="1">
      <c r="A48" s="18"/>
      <c r="B48" s="130"/>
      <c r="C48" s="50" t="s">
        <v>12</v>
      </c>
      <c r="D48" s="19"/>
      <c r="E48" s="19"/>
      <c r="F48" s="19"/>
      <c r="G48" s="20"/>
      <c r="H48" s="20"/>
      <c r="I48" s="20"/>
      <c r="J48" s="21"/>
      <c r="K48" s="20"/>
      <c r="L48" s="20"/>
      <c r="M48" s="22"/>
      <c r="N48" s="141"/>
      <c r="O48" s="22"/>
      <c r="P48" s="23"/>
    </row>
    <row r="49" spans="1:15" ht="23.25" hidden="1">
      <c r="A49" s="42"/>
      <c r="B49" s="140"/>
      <c r="C49" s="43"/>
      <c r="D49" s="44"/>
      <c r="E49" s="44"/>
      <c r="F49" s="44"/>
      <c r="G49" s="45"/>
      <c r="H49" s="45"/>
      <c r="I49" s="45"/>
      <c r="J49" s="46"/>
      <c r="K49" s="45"/>
      <c r="L49" s="45"/>
      <c r="M49" s="45"/>
      <c r="N49" s="142"/>
      <c r="O49" s="22"/>
    </row>
    <row r="50" spans="1:15" s="32" customFormat="1" ht="23.25" hidden="1">
      <c r="A50" s="29"/>
      <c r="B50" s="137"/>
      <c r="C50" s="29" t="s">
        <v>122</v>
      </c>
      <c r="D50" s="30">
        <f aca="true" t="shared" si="5" ref="D50:O50">SUM(D49:D49)</f>
        <v>0</v>
      </c>
      <c r="E50" s="30">
        <f t="shared" si="5"/>
        <v>0</v>
      </c>
      <c r="F50" s="30">
        <f t="shared" si="5"/>
        <v>0</v>
      </c>
      <c r="G50" s="30">
        <f t="shared" si="5"/>
        <v>0</v>
      </c>
      <c r="H50" s="30">
        <f t="shared" si="5"/>
        <v>0</v>
      </c>
      <c r="I50" s="30">
        <f t="shared" si="5"/>
        <v>0</v>
      </c>
      <c r="J50" s="30">
        <f t="shared" si="5"/>
        <v>0</v>
      </c>
      <c r="K50" s="30">
        <f t="shared" si="5"/>
        <v>0</v>
      </c>
      <c r="L50" s="30">
        <f t="shared" si="5"/>
        <v>0</v>
      </c>
      <c r="M50" s="30">
        <f t="shared" si="5"/>
        <v>0</v>
      </c>
      <c r="N50" s="30">
        <f t="shared" si="5"/>
        <v>0</v>
      </c>
      <c r="O50" s="30">
        <f t="shared" si="5"/>
        <v>0</v>
      </c>
    </row>
    <row r="51" spans="1:16" ht="23.25" hidden="1">
      <c r="A51" s="33"/>
      <c r="B51" s="138"/>
      <c r="C51" s="34" t="s">
        <v>13</v>
      </c>
      <c r="D51" s="35"/>
      <c r="E51" s="35"/>
      <c r="F51" s="35"/>
      <c r="G51" s="36"/>
      <c r="H51" s="36"/>
      <c r="I51" s="36"/>
      <c r="J51" s="37"/>
      <c r="K51" s="36"/>
      <c r="L51" s="36"/>
      <c r="M51" s="22"/>
      <c r="N51" s="141"/>
      <c r="O51" s="22"/>
      <c r="P51" s="23"/>
    </row>
    <row r="52" spans="1:15" ht="23.25" hidden="1">
      <c r="A52" s="25"/>
      <c r="B52" s="135"/>
      <c r="C52" s="26"/>
      <c r="D52" s="27"/>
      <c r="E52" s="27"/>
      <c r="F52" s="27"/>
      <c r="G52" s="24"/>
      <c r="H52" s="24"/>
      <c r="I52" s="24"/>
      <c r="J52" s="28"/>
      <c r="K52" s="24"/>
      <c r="L52" s="24"/>
      <c r="M52" s="22"/>
      <c r="N52" s="141"/>
      <c r="O52" s="22"/>
    </row>
    <row r="53" spans="1:15" ht="23.25" hidden="1">
      <c r="A53" s="51"/>
      <c r="B53" s="143"/>
      <c r="C53" s="29" t="s">
        <v>123</v>
      </c>
      <c r="D53" s="52">
        <f aca="true" t="shared" si="6" ref="D53:O53">SUM(D52:D52)</f>
        <v>0</v>
      </c>
      <c r="E53" s="52">
        <f t="shared" si="6"/>
        <v>0</v>
      </c>
      <c r="F53" s="52">
        <f t="shared" si="6"/>
        <v>0</v>
      </c>
      <c r="G53" s="52">
        <f t="shared" si="6"/>
        <v>0</v>
      </c>
      <c r="H53" s="52">
        <f t="shared" si="6"/>
        <v>0</v>
      </c>
      <c r="I53" s="52">
        <f t="shared" si="6"/>
        <v>0</v>
      </c>
      <c r="J53" s="52">
        <f t="shared" si="6"/>
        <v>0</v>
      </c>
      <c r="K53" s="52">
        <f t="shared" si="6"/>
        <v>0</v>
      </c>
      <c r="L53" s="52">
        <f t="shared" si="6"/>
        <v>0</v>
      </c>
      <c r="M53" s="52">
        <f t="shared" si="6"/>
        <v>0</v>
      </c>
      <c r="N53" s="52">
        <f t="shared" si="6"/>
        <v>0</v>
      </c>
      <c r="O53" s="52">
        <f t="shared" si="6"/>
        <v>0</v>
      </c>
    </row>
    <row r="54" spans="1:15" ht="23.25" hidden="1">
      <c r="A54" s="70"/>
      <c r="B54" s="131"/>
      <c r="C54" s="144" t="s">
        <v>43</v>
      </c>
      <c r="D54" s="133"/>
      <c r="E54" s="133"/>
      <c r="F54" s="133"/>
      <c r="G54" s="72"/>
      <c r="H54" s="72"/>
      <c r="I54" s="72"/>
      <c r="J54" s="134"/>
      <c r="K54" s="72"/>
      <c r="L54" s="72"/>
      <c r="M54" s="22"/>
      <c r="N54" s="141"/>
      <c r="O54" s="22"/>
    </row>
    <row r="55" spans="1:15" ht="23.25" hidden="1">
      <c r="A55" s="25"/>
      <c r="B55" s="135"/>
      <c r="C55" s="26"/>
      <c r="D55" s="27"/>
      <c r="E55" s="27"/>
      <c r="F55" s="27"/>
      <c r="G55" s="24"/>
      <c r="H55" s="24"/>
      <c r="I55" s="24"/>
      <c r="J55" s="28"/>
      <c r="K55" s="24"/>
      <c r="L55" s="24"/>
      <c r="M55" s="22"/>
      <c r="N55" s="141"/>
      <c r="O55" s="22"/>
    </row>
    <row r="56" spans="1:15" s="32" customFormat="1" ht="23.25" hidden="1">
      <c r="A56" s="29"/>
      <c r="B56" s="137"/>
      <c r="C56" s="29" t="s">
        <v>124</v>
      </c>
      <c r="D56" s="30">
        <f>SUM(D54:D55)</f>
        <v>0</v>
      </c>
      <c r="E56" s="30">
        <f aca="true" t="shared" si="7" ref="E56:O56">SUM(E54:E55)</f>
        <v>0</v>
      </c>
      <c r="F56" s="30">
        <f t="shared" si="7"/>
        <v>0</v>
      </c>
      <c r="G56" s="30">
        <f t="shared" si="7"/>
        <v>0</v>
      </c>
      <c r="H56" s="30">
        <f t="shared" si="7"/>
        <v>0</v>
      </c>
      <c r="I56" s="30">
        <f t="shared" si="7"/>
        <v>0</v>
      </c>
      <c r="J56" s="30">
        <f t="shared" si="7"/>
        <v>0</v>
      </c>
      <c r="K56" s="30">
        <f t="shared" si="7"/>
        <v>0</v>
      </c>
      <c r="L56" s="30">
        <f t="shared" si="7"/>
        <v>0</v>
      </c>
      <c r="M56" s="30">
        <f t="shared" si="7"/>
        <v>0</v>
      </c>
      <c r="N56" s="30">
        <f t="shared" si="7"/>
        <v>0</v>
      </c>
      <c r="O56" s="30">
        <f t="shared" si="7"/>
        <v>0</v>
      </c>
    </row>
    <row r="57" spans="1:16" ht="23.25" hidden="1">
      <c r="A57" s="33"/>
      <c r="B57" s="138" t="s">
        <v>3</v>
      </c>
      <c r="C57" s="34" t="s">
        <v>14</v>
      </c>
      <c r="D57" s="35"/>
      <c r="E57" s="35"/>
      <c r="F57" s="35"/>
      <c r="G57" s="36"/>
      <c r="H57" s="36"/>
      <c r="I57" s="36"/>
      <c r="J57" s="37"/>
      <c r="K57" s="36"/>
      <c r="L57" s="36"/>
      <c r="M57" s="22"/>
      <c r="N57" s="141"/>
      <c r="O57" s="22"/>
      <c r="P57" s="23"/>
    </row>
    <row r="58" spans="1:15" ht="19.5" customHeight="1" hidden="1">
      <c r="A58" s="42"/>
      <c r="B58" s="140"/>
      <c r="C58" s="53"/>
      <c r="D58" s="44"/>
      <c r="E58" s="44"/>
      <c r="F58" s="44"/>
      <c r="G58" s="45"/>
      <c r="H58" s="45"/>
      <c r="I58" s="45"/>
      <c r="J58" s="46"/>
      <c r="K58" s="45"/>
      <c r="L58" s="45"/>
      <c r="M58" s="22"/>
      <c r="N58" s="141"/>
      <c r="O58" s="22"/>
    </row>
    <row r="59" spans="1:16" s="32" customFormat="1" ht="23.25" hidden="1">
      <c r="A59" s="29"/>
      <c r="B59" s="137"/>
      <c r="C59" s="29" t="s">
        <v>125</v>
      </c>
      <c r="D59" s="30">
        <f aca="true" t="shared" si="8" ref="D59:O59">SUM(D58:D58)</f>
        <v>0</v>
      </c>
      <c r="E59" s="30">
        <f t="shared" si="8"/>
        <v>0</v>
      </c>
      <c r="F59" s="30">
        <f t="shared" si="8"/>
        <v>0</v>
      </c>
      <c r="G59" s="30">
        <f t="shared" si="8"/>
        <v>0</v>
      </c>
      <c r="H59" s="30">
        <f t="shared" si="8"/>
        <v>0</v>
      </c>
      <c r="I59" s="30">
        <f t="shared" si="8"/>
        <v>0</v>
      </c>
      <c r="J59" s="30">
        <f t="shared" si="8"/>
        <v>0</v>
      </c>
      <c r="K59" s="30">
        <f t="shared" si="8"/>
        <v>0</v>
      </c>
      <c r="L59" s="30">
        <f t="shared" si="8"/>
        <v>0</v>
      </c>
      <c r="M59" s="30">
        <f t="shared" si="8"/>
        <v>0</v>
      </c>
      <c r="N59" s="30">
        <f t="shared" si="8"/>
        <v>0</v>
      </c>
      <c r="O59" s="30">
        <f t="shared" si="8"/>
        <v>0</v>
      </c>
      <c r="P59" s="54"/>
    </row>
    <row r="60" spans="1:16" ht="23.25">
      <c r="A60" s="33"/>
      <c r="B60" s="138"/>
      <c r="C60" s="34" t="s">
        <v>15</v>
      </c>
      <c r="D60" s="35"/>
      <c r="E60" s="35"/>
      <c r="F60" s="35"/>
      <c r="G60" s="36"/>
      <c r="H60" s="36"/>
      <c r="I60" s="36"/>
      <c r="J60" s="37"/>
      <c r="K60" s="36"/>
      <c r="L60" s="36"/>
      <c r="M60" s="22"/>
      <c r="N60" s="22"/>
      <c r="O60" s="36"/>
      <c r="P60" s="23"/>
    </row>
    <row r="61" spans="1:15" ht="23.25">
      <c r="A61" s="48" t="s">
        <v>201</v>
      </c>
      <c r="B61" s="139">
        <v>39028</v>
      </c>
      <c r="C61" s="55" t="s">
        <v>202</v>
      </c>
      <c r="D61" s="22">
        <v>1018048</v>
      </c>
      <c r="E61" s="22"/>
      <c r="F61" s="40"/>
      <c r="G61" s="22"/>
      <c r="H61" s="22"/>
      <c r="I61" s="22"/>
      <c r="J61" s="41"/>
      <c r="K61" s="22">
        <v>1018048</v>
      </c>
      <c r="L61" s="22"/>
      <c r="M61" s="22"/>
      <c r="N61" s="22"/>
      <c r="O61" s="22"/>
    </row>
    <row r="62" spans="1:15" ht="23.25">
      <c r="A62" s="38" t="s">
        <v>203</v>
      </c>
      <c r="B62" s="139">
        <v>39065</v>
      </c>
      <c r="C62" s="55" t="s">
        <v>204</v>
      </c>
      <c r="D62" s="22">
        <v>1455190</v>
      </c>
      <c r="E62" s="22"/>
      <c r="F62" s="40"/>
      <c r="G62" s="22"/>
      <c r="H62" s="22"/>
      <c r="I62" s="22"/>
      <c r="J62" s="41"/>
      <c r="K62" s="22">
        <v>1455190</v>
      </c>
      <c r="L62" s="22"/>
      <c r="M62" s="22"/>
      <c r="N62" s="22"/>
      <c r="O62" s="22"/>
    </row>
    <row r="63" spans="1:15" ht="23.25">
      <c r="A63" s="38" t="s">
        <v>205</v>
      </c>
      <c r="B63" s="139">
        <v>39135</v>
      </c>
      <c r="C63" s="55" t="s">
        <v>206</v>
      </c>
      <c r="D63" s="22">
        <v>584000</v>
      </c>
      <c r="E63" s="22"/>
      <c r="F63" s="40"/>
      <c r="G63" s="22"/>
      <c r="H63" s="22"/>
      <c r="I63" s="22"/>
      <c r="J63" s="41"/>
      <c r="K63" s="22">
        <v>584000</v>
      </c>
      <c r="L63" s="22"/>
      <c r="M63" s="22"/>
      <c r="N63" s="22"/>
      <c r="O63" s="22"/>
    </row>
    <row r="64" spans="1:15" ht="23.25">
      <c r="A64" s="38" t="s">
        <v>207</v>
      </c>
      <c r="B64" s="139">
        <v>39162</v>
      </c>
      <c r="C64" s="55" t="s">
        <v>208</v>
      </c>
      <c r="D64" s="22">
        <v>876000</v>
      </c>
      <c r="E64" s="22"/>
      <c r="F64" s="40"/>
      <c r="G64" s="22"/>
      <c r="H64" s="22"/>
      <c r="I64" s="22"/>
      <c r="J64" s="41"/>
      <c r="K64" s="22">
        <v>876000</v>
      </c>
      <c r="L64" s="22"/>
      <c r="M64" s="22"/>
      <c r="N64" s="22"/>
      <c r="O64" s="22"/>
    </row>
    <row r="65" spans="1:15" ht="18.75" customHeight="1">
      <c r="A65" s="42"/>
      <c r="B65" s="140"/>
      <c r="C65" s="53"/>
      <c r="D65" s="44"/>
      <c r="E65" s="44"/>
      <c r="F65" s="44"/>
      <c r="G65" s="45"/>
      <c r="H65" s="45"/>
      <c r="I65" s="45"/>
      <c r="J65" s="46"/>
      <c r="K65" s="45"/>
      <c r="L65" s="45"/>
      <c r="M65" s="22"/>
      <c r="N65" s="22"/>
      <c r="O65" s="45"/>
    </row>
    <row r="66" spans="1:15" s="32" customFormat="1" ht="23.25">
      <c r="A66" s="29"/>
      <c r="B66" s="137"/>
      <c r="C66" s="29" t="s">
        <v>126</v>
      </c>
      <c r="D66" s="30">
        <f aca="true" t="shared" si="9" ref="D66:O66">SUM(D61:D65)</f>
        <v>3933238</v>
      </c>
      <c r="E66" s="30">
        <f t="shared" si="9"/>
        <v>0</v>
      </c>
      <c r="F66" s="30">
        <f t="shared" si="9"/>
        <v>0</v>
      </c>
      <c r="G66" s="30">
        <f t="shared" si="9"/>
        <v>0</v>
      </c>
      <c r="H66" s="30">
        <f t="shared" si="9"/>
        <v>0</v>
      </c>
      <c r="I66" s="30">
        <f t="shared" si="9"/>
        <v>0</v>
      </c>
      <c r="J66" s="30">
        <f t="shared" si="9"/>
        <v>0</v>
      </c>
      <c r="K66" s="30">
        <f t="shared" si="9"/>
        <v>3933238</v>
      </c>
      <c r="L66" s="30">
        <f t="shared" si="9"/>
        <v>0</v>
      </c>
      <c r="M66" s="30">
        <f t="shared" si="9"/>
        <v>0</v>
      </c>
      <c r="N66" s="30">
        <f t="shared" si="9"/>
        <v>0</v>
      </c>
      <c r="O66" s="30">
        <f t="shared" si="9"/>
        <v>0</v>
      </c>
    </row>
    <row r="67" spans="1:16" ht="23.25" hidden="1">
      <c r="A67" s="18"/>
      <c r="B67" s="130"/>
      <c r="C67" s="50" t="s">
        <v>16</v>
      </c>
      <c r="D67" s="19"/>
      <c r="E67" s="19"/>
      <c r="F67" s="19"/>
      <c r="G67" s="20"/>
      <c r="H67" s="20"/>
      <c r="I67" s="20"/>
      <c r="J67" s="21"/>
      <c r="K67" s="20"/>
      <c r="L67" s="20"/>
      <c r="M67" s="22"/>
      <c r="N67" s="22"/>
      <c r="O67" s="20"/>
      <c r="P67" s="23"/>
    </row>
    <row r="68" spans="1:15" ht="23.25" hidden="1">
      <c r="A68" s="25"/>
      <c r="B68" s="135"/>
      <c r="C68" s="136"/>
      <c r="D68" s="27"/>
      <c r="E68" s="27"/>
      <c r="F68" s="27"/>
      <c r="G68" s="24"/>
      <c r="H68" s="24"/>
      <c r="I68" s="24"/>
      <c r="J68" s="28"/>
      <c r="K68" s="24"/>
      <c r="L68" s="24"/>
      <c r="M68" s="22"/>
      <c r="N68" s="22"/>
      <c r="O68" s="22"/>
    </row>
    <row r="69" spans="1:16" s="32" customFormat="1" ht="23.25" hidden="1">
      <c r="A69" s="29"/>
      <c r="B69" s="137"/>
      <c r="C69" s="29" t="s">
        <v>127</v>
      </c>
      <c r="D69" s="30">
        <f aca="true" t="shared" si="10" ref="D69:O69">SUM(D68:D68)</f>
        <v>0</v>
      </c>
      <c r="E69" s="30">
        <f t="shared" si="10"/>
        <v>0</v>
      </c>
      <c r="F69" s="30">
        <f t="shared" si="10"/>
        <v>0</v>
      </c>
      <c r="G69" s="30">
        <f t="shared" si="10"/>
        <v>0</v>
      </c>
      <c r="H69" s="30">
        <f t="shared" si="10"/>
        <v>0</v>
      </c>
      <c r="I69" s="30">
        <f t="shared" si="10"/>
        <v>0</v>
      </c>
      <c r="J69" s="30">
        <f t="shared" si="10"/>
        <v>0</v>
      </c>
      <c r="K69" s="30">
        <f t="shared" si="10"/>
        <v>0</v>
      </c>
      <c r="L69" s="30">
        <f t="shared" si="10"/>
        <v>0</v>
      </c>
      <c r="M69" s="30">
        <f t="shared" si="10"/>
        <v>0</v>
      </c>
      <c r="N69" s="30">
        <f t="shared" si="10"/>
        <v>0</v>
      </c>
      <c r="O69" s="30">
        <f t="shared" si="10"/>
        <v>0</v>
      </c>
      <c r="P69" s="54"/>
    </row>
    <row r="70" spans="1:15" s="32" customFormat="1" ht="23.25" hidden="1">
      <c r="A70" s="50"/>
      <c r="B70" s="145"/>
      <c r="C70" s="50" t="s">
        <v>100</v>
      </c>
      <c r="D70" s="19"/>
      <c r="E70" s="19"/>
      <c r="F70" s="19"/>
      <c r="G70" s="20"/>
      <c r="H70" s="20"/>
      <c r="I70" s="20"/>
      <c r="J70" s="21"/>
      <c r="K70" s="20"/>
      <c r="L70" s="20"/>
      <c r="M70" s="22"/>
      <c r="N70" s="22"/>
      <c r="O70" s="22"/>
    </row>
    <row r="71" spans="1:15" s="32" customFormat="1" ht="17.25" customHeight="1" hidden="1">
      <c r="A71" s="25"/>
      <c r="B71" s="135"/>
      <c r="C71" s="26"/>
      <c r="D71" s="27"/>
      <c r="E71" s="27"/>
      <c r="F71" s="27"/>
      <c r="G71" s="24"/>
      <c r="H71" s="24"/>
      <c r="I71" s="24"/>
      <c r="J71" s="28"/>
      <c r="K71" s="24"/>
      <c r="L71" s="24"/>
      <c r="M71" s="22"/>
      <c r="N71" s="22"/>
      <c r="O71" s="22"/>
    </row>
    <row r="72" spans="1:15" s="32" customFormat="1" ht="23.25" hidden="1">
      <c r="A72" s="29"/>
      <c r="B72" s="137"/>
      <c r="C72" s="29" t="s">
        <v>128</v>
      </c>
      <c r="D72" s="30">
        <f aca="true" t="shared" si="11" ref="D72:O72">SUM(D71:D71)</f>
        <v>0</v>
      </c>
      <c r="E72" s="30">
        <f t="shared" si="11"/>
        <v>0</v>
      </c>
      <c r="F72" s="30">
        <f t="shared" si="11"/>
        <v>0</v>
      </c>
      <c r="G72" s="31">
        <f t="shared" si="11"/>
        <v>0</v>
      </c>
      <c r="H72" s="31">
        <f t="shared" si="11"/>
        <v>0</v>
      </c>
      <c r="I72" s="31">
        <f t="shared" si="11"/>
        <v>0</v>
      </c>
      <c r="J72" s="31">
        <f t="shared" si="11"/>
        <v>0</v>
      </c>
      <c r="K72" s="31">
        <f t="shared" si="11"/>
        <v>0</v>
      </c>
      <c r="L72" s="31">
        <f t="shared" si="11"/>
        <v>0</v>
      </c>
      <c r="M72" s="31">
        <f t="shared" si="11"/>
        <v>0</v>
      </c>
      <c r="N72" s="31">
        <f t="shared" si="11"/>
        <v>0</v>
      </c>
      <c r="O72" s="31">
        <f t="shared" si="11"/>
        <v>0</v>
      </c>
    </row>
    <row r="73" spans="1:15" ht="24" thickBot="1">
      <c r="A73" s="57"/>
      <c r="B73" s="146"/>
      <c r="C73" s="58" t="s">
        <v>129</v>
      </c>
      <c r="D73" s="59">
        <f aca="true" t="shared" si="12" ref="D73:O73">D9+D12+D15+D19+D47+D50+D53+D56+D59+D66+D69+D72</f>
        <v>4823462</v>
      </c>
      <c r="E73" s="59">
        <f t="shared" si="12"/>
        <v>0</v>
      </c>
      <c r="F73" s="59">
        <f t="shared" si="12"/>
        <v>438721</v>
      </c>
      <c r="G73" s="59">
        <f t="shared" si="12"/>
        <v>28740</v>
      </c>
      <c r="H73" s="59">
        <f t="shared" si="12"/>
        <v>165912</v>
      </c>
      <c r="I73" s="59">
        <f t="shared" si="12"/>
        <v>75816</v>
      </c>
      <c r="J73" s="59">
        <f t="shared" si="12"/>
        <v>180275</v>
      </c>
      <c r="K73" s="59">
        <f t="shared" si="12"/>
        <v>3933238</v>
      </c>
      <c r="L73" s="59">
        <f t="shared" si="12"/>
        <v>0</v>
      </c>
      <c r="M73" s="59">
        <f t="shared" si="12"/>
        <v>0</v>
      </c>
      <c r="N73" s="59">
        <f t="shared" si="12"/>
        <v>0</v>
      </c>
      <c r="O73" s="59">
        <f t="shared" si="12"/>
        <v>760</v>
      </c>
    </row>
    <row r="74" ht="24" thickTop="1"/>
    <row r="77" spans="10:12" ht="23.25">
      <c r="J77" s="63"/>
      <c r="K77" s="63"/>
      <c r="L77" s="49" t="s">
        <v>42</v>
      </c>
    </row>
    <row r="79" spans="10:12" ht="23.25">
      <c r="J79" s="63"/>
      <c r="K79" s="63"/>
      <c r="L79" s="49" t="s">
        <v>78</v>
      </c>
    </row>
  </sheetData>
  <sheetProtection/>
  <mergeCells count="16">
    <mergeCell ref="N4:N5"/>
    <mergeCell ref="O4:O5"/>
    <mergeCell ref="I4:I5"/>
    <mergeCell ref="J4:J5"/>
    <mergeCell ref="K4:K5"/>
    <mergeCell ref="L4:L5"/>
    <mergeCell ref="A1:L1"/>
    <mergeCell ref="A2:L2"/>
    <mergeCell ref="A3:L3"/>
    <mergeCell ref="A4:A5"/>
    <mergeCell ref="B4:B5"/>
    <mergeCell ref="C4:C5"/>
    <mergeCell ref="D4:E4"/>
    <mergeCell ref="F4:F5"/>
    <mergeCell ref="G4:G5"/>
    <mergeCell ref="H4:H5"/>
  </mergeCells>
  <printOptions/>
  <pageMargins left="0.65" right="0.46" top="0.32" bottom="0.32" header="0.26" footer="0.25"/>
  <pageSetup horizontalDpi="300" verticalDpi="3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6" sqref="A6"/>
    </sheetView>
  </sheetViews>
  <sheetFormatPr defaultColWidth="9.140625" defaultRowHeight="23.25"/>
  <cols>
    <col min="1" max="1" width="26.28125" style="534" customWidth="1"/>
    <col min="2" max="2" width="12.8515625" style="534" customWidth="1"/>
    <col min="3" max="3" width="13.57421875" style="534" customWidth="1"/>
    <col min="4" max="4" width="13.421875" style="534" customWidth="1"/>
    <col min="5" max="5" width="10.00390625" style="534" customWidth="1"/>
    <col min="6" max="6" width="12.8515625" style="534" customWidth="1"/>
    <col min="7" max="7" width="11.00390625" style="534" customWidth="1"/>
    <col min="8" max="8" width="9.8515625" style="534" customWidth="1"/>
    <col min="9" max="9" width="12.28125" style="534" customWidth="1"/>
    <col min="10" max="10" width="10.7109375" style="534" customWidth="1"/>
    <col min="11" max="11" width="12.28125" style="534" customWidth="1"/>
    <col min="12" max="12" width="11.7109375" style="534" customWidth="1"/>
    <col min="13" max="13" width="10.28125" style="534" customWidth="1"/>
    <col min="14" max="14" width="7.421875" style="534" customWidth="1"/>
    <col min="15" max="15" width="11.7109375" style="534" customWidth="1"/>
    <col min="16" max="16" width="9.140625" style="534" customWidth="1"/>
    <col min="17" max="17" width="16.421875" style="534" customWidth="1"/>
    <col min="18" max="16384" width="9.140625" style="534" customWidth="1"/>
  </cols>
  <sheetData>
    <row r="1" spans="1:15" ht="19.5">
      <c r="A1" s="702" t="s">
        <v>527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</row>
    <row r="2" spans="1:15" ht="19.5">
      <c r="A2" s="702" t="s">
        <v>566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</row>
    <row r="3" spans="1:15" ht="19.5">
      <c r="A3" s="702" t="s">
        <v>585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</row>
    <row r="4" spans="1:15" ht="19.5">
      <c r="A4" s="535" t="s">
        <v>5</v>
      </c>
      <c r="B4" s="535" t="s">
        <v>528</v>
      </c>
      <c r="C4" s="535" t="s">
        <v>4</v>
      </c>
      <c r="D4" s="535" t="s">
        <v>84</v>
      </c>
      <c r="E4" s="535" t="s">
        <v>85</v>
      </c>
      <c r="F4" s="535" t="s">
        <v>109</v>
      </c>
      <c r="G4" s="535" t="s">
        <v>89</v>
      </c>
      <c r="H4" s="535" t="s">
        <v>140</v>
      </c>
      <c r="I4" s="535" t="s">
        <v>529</v>
      </c>
      <c r="J4" s="535" t="s">
        <v>86</v>
      </c>
      <c r="K4" s="535" t="s">
        <v>87</v>
      </c>
      <c r="L4" s="535" t="s">
        <v>141</v>
      </c>
      <c r="M4" s="535" t="s">
        <v>143</v>
      </c>
      <c r="N4" s="535" t="s">
        <v>530</v>
      </c>
      <c r="O4" s="535" t="s">
        <v>8</v>
      </c>
    </row>
    <row r="5" spans="1:15" ht="19.5">
      <c r="A5" s="536"/>
      <c r="B5" s="536"/>
      <c r="C5" s="536"/>
      <c r="D5" s="536" t="s">
        <v>88</v>
      </c>
      <c r="E5" s="536" t="s">
        <v>531</v>
      </c>
      <c r="F5" s="536"/>
      <c r="G5" s="536"/>
      <c r="H5" s="536" t="s">
        <v>142</v>
      </c>
      <c r="I5" s="536" t="s">
        <v>532</v>
      </c>
      <c r="J5" s="536" t="s">
        <v>90</v>
      </c>
      <c r="K5" s="536" t="s">
        <v>533</v>
      </c>
      <c r="L5" s="536" t="s">
        <v>144</v>
      </c>
      <c r="M5" s="536"/>
      <c r="N5" s="536" t="s">
        <v>308</v>
      </c>
      <c r="O5" s="536"/>
    </row>
    <row r="6" spans="1:15" ht="19.5">
      <c r="A6" s="536"/>
      <c r="B6" s="536"/>
      <c r="C6" s="536"/>
      <c r="D6" s="536"/>
      <c r="E6" s="536" t="s">
        <v>534</v>
      </c>
      <c r="F6" s="536"/>
      <c r="G6" s="536"/>
      <c r="H6" s="536"/>
      <c r="I6" s="536"/>
      <c r="J6" s="536" t="s">
        <v>535</v>
      </c>
      <c r="K6" s="536" t="s">
        <v>91</v>
      </c>
      <c r="L6" s="536" t="s">
        <v>536</v>
      </c>
      <c r="M6" s="536"/>
      <c r="N6" s="537"/>
      <c r="O6" s="537"/>
    </row>
    <row r="7" spans="1:15" ht="19.5">
      <c r="A7" s="538" t="s">
        <v>94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</row>
    <row r="8" spans="1:17" ht="19.5">
      <c r="A8" s="540" t="s">
        <v>656</v>
      </c>
      <c r="B8" s="541">
        <v>3954500</v>
      </c>
      <c r="C8" s="541">
        <f aca="true" t="shared" si="0" ref="C8:C20">SUM(D8:O8)</f>
        <v>4175458</v>
      </c>
      <c r="D8" s="541">
        <f>2699710+119144+58995+118950+58995+202560+15330+23665</f>
        <v>3297349</v>
      </c>
      <c r="E8" s="541"/>
      <c r="F8" s="541">
        <f>249638+26810+26810+69226+19865</f>
        <v>392349</v>
      </c>
      <c r="G8" s="541"/>
      <c r="H8" s="541"/>
      <c r="I8" s="541">
        <f>402240+40910+40910+1700</f>
        <v>485760</v>
      </c>
      <c r="J8" s="541"/>
      <c r="K8" s="541"/>
      <c r="L8" s="541"/>
      <c r="M8" s="541"/>
      <c r="N8" s="541"/>
      <c r="O8" s="541"/>
      <c r="Q8" s="542"/>
    </row>
    <row r="9" spans="1:17" ht="19.5">
      <c r="A9" s="540" t="s">
        <v>657</v>
      </c>
      <c r="B9" s="541">
        <v>175920</v>
      </c>
      <c r="C9" s="541">
        <f t="shared" si="0"/>
        <v>150930</v>
      </c>
      <c r="D9" s="541">
        <f>119910+12285+12285+6450</f>
        <v>150930</v>
      </c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Q9" s="542"/>
    </row>
    <row r="10" spans="1:17" ht="19.5">
      <c r="A10" s="540" t="s">
        <v>658</v>
      </c>
      <c r="B10" s="541">
        <v>891320</v>
      </c>
      <c r="C10" s="541">
        <f t="shared" si="0"/>
        <v>1126560</v>
      </c>
      <c r="D10" s="541">
        <f>338760+27000+9000+27000+9000+32400+17280</f>
        <v>460440</v>
      </c>
      <c r="E10" s="541"/>
      <c r="F10" s="587">
        <f>279800+9000+9560-13660+66060+10800</f>
        <v>361560</v>
      </c>
      <c r="G10" s="541"/>
      <c r="H10" s="541"/>
      <c r="I10" s="588">
        <f>218160+27000+27000+32400</f>
        <v>304560</v>
      </c>
      <c r="J10" s="541"/>
      <c r="K10" s="541"/>
      <c r="L10" s="541"/>
      <c r="M10" s="541"/>
      <c r="N10" s="541"/>
      <c r="O10" s="541"/>
      <c r="Q10" s="542"/>
    </row>
    <row r="11" spans="1:17" ht="19.5">
      <c r="A11" s="540" t="s">
        <v>659</v>
      </c>
      <c r="B11" s="541">
        <v>2663400</v>
      </c>
      <c r="C11" s="541">
        <f t="shared" si="0"/>
        <v>2856360</v>
      </c>
      <c r="D11" s="541">
        <f>1400261+17890+47379+917966+6930+338940</f>
        <v>2729366</v>
      </c>
      <c r="E11" s="541"/>
      <c r="F11" s="541">
        <f>62057+12050+23685</f>
        <v>97792</v>
      </c>
      <c r="G11" s="541"/>
      <c r="H11" s="541"/>
      <c r="I11" s="541">
        <f>18440+1702+6268+1702+1090</f>
        <v>29202</v>
      </c>
      <c r="J11" s="541"/>
      <c r="K11" s="541"/>
      <c r="L11" s="541"/>
      <c r="M11" s="541"/>
      <c r="N11" s="541"/>
      <c r="O11" s="541"/>
      <c r="Q11" s="542"/>
    </row>
    <row r="12" spans="1:17" ht="19.5">
      <c r="A12" s="540" t="s">
        <v>541</v>
      </c>
      <c r="B12" s="541">
        <v>2243000</v>
      </c>
      <c r="C12" s="541">
        <f t="shared" si="0"/>
        <v>1252932</v>
      </c>
      <c r="D12" s="541">
        <v>278013</v>
      </c>
      <c r="E12" s="541">
        <f>9400</f>
        <v>9400</v>
      </c>
      <c r="F12" s="541">
        <v>361090</v>
      </c>
      <c r="G12" s="541">
        <v>38100</v>
      </c>
      <c r="H12" s="541"/>
      <c r="I12" s="541">
        <f>13450+52864</f>
        <v>66314</v>
      </c>
      <c r="J12" s="541">
        <f>60000</f>
        <v>60000</v>
      </c>
      <c r="K12" s="541">
        <f>392990+5885+2000</f>
        <v>400875</v>
      </c>
      <c r="L12" s="541"/>
      <c r="M12" s="541">
        <v>39140</v>
      </c>
      <c r="N12" s="541"/>
      <c r="O12" s="541"/>
      <c r="Q12" s="542"/>
    </row>
    <row r="13" spans="1:17" ht="19.5">
      <c r="A13" s="540" t="s">
        <v>542</v>
      </c>
      <c r="B13" s="541">
        <v>1437800</v>
      </c>
      <c r="C13" s="541">
        <f t="shared" si="0"/>
        <v>1209766.46</v>
      </c>
      <c r="D13" s="541">
        <f>151536.8+11680+6276.8+63910+56930.2</f>
        <v>290333.8</v>
      </c>
      <c r="E13" s="541"/>
      <c r="F13" s="541">
        <f>303598.29+19950+36856.82+45000+115417.55</f>
        <v>520822.66</v>
      </c>
      <c r="G13" s="541"/>
      <c r="H13" s="541"/>
      <c r="I13" s="541">
        <f>123450+72653+167525</f>
        <v>363628</v>
      </c>
      <c r="J13" s="541"/>
      <c r="K13" s="541">
        <f>34982</f>
        <v>34982</v>
      </c>
      <c r="L13" s="541"/>
      <c r="M13" s="541"/>
      <c r="N13" s="541"/>
      <c r="O13" s="541"/>
      <c r="Q13" s="542"/>
    </row>
    <row r="14" spans="1:17" ht="19.5">
      <c r="A14" s="540" t="s">
        <v>543</v>
      </c>
      <c r="B14" s="541">
        <v>623000</v>
      </c>
      <c r="C14" s="541">
        <f t="shared" si="0"/>
        <v>580668.78</v>
      </c>
      <c r="D14" s="541">
        <f>406339.59+52497.75+2721+119110.44</f>
        <v>580668.78</v>
      </c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Q14" s="542"/>
    </row>
    <row r="15" spans="1:17" ht="19.5">
      <c r="A15" s="540" t="s">
        <v>660</v>
      </c>
      <c r="B15" s="541">
        <v>1221650</v>
      </c>
      <c r="C15" s="541">
        <f t="shared" si="0"/>
        <v>2011628.03</v>
      </c>
      <c r="D15" s="541">
        <f>10000</f>
        <v>10000</v>
      </c>
      <c r="E15" s="541"/>
      <c r="F15" s="541">
        <v>488800</v>
      </c>
      <c r="G15" s="541">
        <v>90000</v>
      </c>
      <c r="H15" s="541">
        <v>10000</v>
      </c>
      <c r="I15" s="541">
        <f>462650+825178.03</f>
        <v>1287828.03</v>
      </c>
      <c r="J15" s="541">
        <f>30000</f>
        <v>30000</v>
      </c>
      <c r="K15" s="541">
        <f>50000+45000</f>
        <v>95000</v>
      </c>
      <c r="L15" s="541"/>
      <c r="M15" s="541"/>
      <c r="N15" s="541"/>
      <c r="O15" s="541"/>
      <c r="Q15" s="542"/>
    </row>
    <row r="16" spans="1:17" ht="19.5">
      <c r="A16" s="540" t="s">
        <v>545</v>
      </c>
      <c r="B16" s="541">
        <v>50000</v>
      </c>
      <c r="C16" s="541">
        <f t="shared" si="0"/>
        <v>11735.5</v>
      </c>
      <c r="D16" s="541"/>
      <c r="E16" s="541">
        <f>8639.5+3096</f>
        <v>11735.5</v>
      </c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Q16" s="542"/>
    </row>
    <row r="17" spans="1:17" ht="19.5">
      <c r="A17" s="540" t="s">
        <v>546</v>
      </c>
      <c r="B17" s="541">
        <v>967910</v>
      </c>
      <c r="C17" s="541">
        <f t="shared" si="0"/>
        <v>7495154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89">
        <f>6772350+105208-478+618074</f>
        <v>7495154</v>
      </c>
      <c r="Q17" s="542"/>
    </row>
    <row r="18" spans="1:17" ht="19.5">
      <c r="A18" s="540" t="s">
        <v>661</v>
      </c>
      <c r="B18" s="541">
        <v>1013000</v>
      </c>
      <c r="C18" s="541">
        <f t="shared" si="0"/>
        <v>637300</v>
      </c>
      <c r="D18" s="541">
        <f>9800+2500</f>
        <v>12300</v>
      </c>
      <c r="E18" s="541"/>
      <c r="F18" s="541">
        <f>29000+5000+45000+29500</f>
        <v>108500</v>
      </c>
      <c r="G18" s="541"/>
      <c r="H18" s="541"/>
      <c r="I18" s="541">
        <f>516500</f>
        <v>516500</v>
      </c>
      <c r="J18" s="541"/>
      <c r="K18" s="541"/>
      <c r="L18" s="541"/>
      <c r="M18" s="541"/>
      <c r="N18" s="541"/>
      <c r="O18" s="541"/>
      <c r="Q18" s="542"/>
    </row>
    <row r="19" spans="1:17" ht="19.5">
      <c r="A19" s="543" t="s">
        <v>662</v>
      </c>
      <c r="B19" s="544">
        <v>2124000</v>
      </c>
      <c r="C19" s="541">
        <f t="shared" si="0"/>
        <v>7076492</v>
      </c>
      <c r="D19" s="544"/>
      <c r="E19" s="544"/>
      <c r="F19" s="544"/>
      <c r="G19" s="544"/>
      <c r="H19" s="544"/>
      <c r="I19" s="544">
        <v>497000</v>
      </c>
      <c r="J19" s="544"/>
      <c r="K19" s="544"/>
      <c r="L19" s="544">
        <v>6579492</v>
      </c>
      <c r="M19" s="544"/>
      <c r="N19" s="544"/>
      <c r="O19" s="544"/>
      <c r="Q19" s="542"/>
    </row>
    <row r="20" spans="1:15" ht="20.25" thickBot="1">
      <c r="A20" s="545" t="s">
        <v>4</v>
      </c>
      <c r="B20" s="546">
        <f>SUM(B8:B19)</f>
        <v>17365500</v>
      </c>
      <c r="C20" s="546">
        <f t="shared" si="0"/>
        <v>28584984.77</v>
      </c>
      <c r="D20" s="546">
        <f aca="true" t="shared" si="1" ref="D20:O20">SUM(D8:D19)</f>
        <v>7809400.58</v>
      </c>
      <c r="E20" s="546">
        <f t="shared" si="1"/>
        <v>21135.5</v>
      </c>
      <c r="F20" s="546">
        <f t="shared" si="1"/>
        <v>2330913.66</v>
      </c>
      <c r="G20" s="546">
        <f t="shared" si="1"/>
        <v>128100</v>
      </c>
      <c r="H20" s="546">
        <f t="shared" si="1"/>
        <v>10000</v>
      </c>
      <c r="I20" s="546">
        <f t="shared" si="1"/>
        <v>3550792.0300000003</v>
      </c>
      <c r="J20" s="546">
        <f t="shared" si="1"/>
        <v>90000</v>
      </c>
      <c r="K20" s="546">
        <f t="shared" si="1"/>
        <v>530857</v>
      </c>
      <c r="L20" s="546">
        <f t="shared" si="1"/>
        <v>6579492</v>
      </c>
      <c r="M20" s="546">
        <f t="shared" si="1"/>
        <v>39140</v>
      </c>
      <c r="N20" s="546">
        <f t="shared" si="1"/>
        <v>0</v>
      </c>
      <c r="O20" s="546">
        <f t="shared" si="1"/>
        <v>7495154</v>
      </c>
    </row>
    <row r="21" spans="1:15" ht="20.25" thickTop="1">
      <c r="A21" s="547" t="s">
        <v>17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</row>
    <row r="22" spans="1:15" ht="19.5">
      <c r="A22" s="548" t="s">
        <v>547</v>
      </c>
      <c r="B22" s="541">
        <f>726500-600000</f>
        <v>126500</v>
      </c>
      <c r="C22" s="541">
        <v>143567.2</v>
      </c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</row>
    <row r="23" spans="1:17" ht="19.5">
      <c r="A23" s="548" t="s">
        <v>548</v>
      </c>
      <c r="B23" s="541">
        <v>28500</v>
      </c>
      <c r="C23" s="541">
        <v>276900</v>
      </c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Q23" s="590"/>
    </row>
    <row r="24" spans="1:15" ht="19.5">
      <c r="A24" s="549" t="s">
        <v>92</v>
      </c>
      <c r="B24" s="541">
        <v>50000</v>
      </c>
      <c r="C24" s="550">
        <v>115295.33</v>
      </c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</row>
    <row r="25" spans="1:15" ht="19.5">
      <c r="A25" s="548" t="s">
        <v>549</v>
      </c>
      <c r="B25" s="541">
        <v>603000</v>
      </c>
      <c r="C25" s="541">
        <v>641700</v>
      </c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</row>
    <row r="26" spans="1:15" ht="19.5">
      <c r="A26" s="548" t="s">
        <v>550</v>
      </c>
      <c r="B26" s="541">
        <v>52500</v>
      </c>
      <c r="C26" s="541">
        <v>11030</v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</row>
    <row r="27" spans="1:15" ht="19.5">
      <c r="A27" s="548" t="s">
        <v>551</v>
      </c>
      <c r="B27" s="550" t="s">
        <v>502</v>
      </c>
      <c r="C27" s="550" t="s">
        <v>502</v>
      </c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</row>
    <row r="28" spans="1:15" ht="19.5">
      <c r="A28" s="548" t="s">
        <v>552</v>
      </c>
      <c r="B28" s="541">
        <f>9905000+600000</f>
        <v>10505000</v>
      </c>
      <c r="C28" s="541">
        <v>10767050.44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</row>
    <row r="29" spans="1:15" ht="19.5">
      <c r="A29" s="548" t="s">
        <v>553</v>
      </c>
      <c r="B29" s="541">
        <v>6000000</v>
      </c>
      <c r="C29" s="541">
        <v>4291704</v>
      </c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</row>
    <row r="30" spans="1:15" ht="19.5">
      <c r="A30" s="549" t="s">
        <v>554</v>
      </c>
      <c r="B30" s="550" t="s">
        <v>502</v>
      </c>
      <c r="C30" s="550">
        <v>0</v>
      </c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</row>
    <row r="31" spans="1:15" ht="19.5">
      <c r="A31" s="551" t="s">
        <v>555</v>
      </c>
      <c r="B31" s="552" t="s">
        <v>502</v>
      </c>
      <c r="C31" s="553">
        <f>5780000+7203181</f>
        <v>12983181</v>
      </c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</row>
    <row r="32" spans="1:15" ht="20.25" thickBot="1">
      <c r="A32" s="554" t="s">
        <v>93</v>
      </c>
      <c r="B32" s="555">
        <f>SUM(B22:B31)</f>
        <v>17365500</v>
      </c>
      <c r="C32" s="555">
        <f>SUM(C22:C31)</f>
        <v>29230427.97</v>
      </c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</row>
    <row r="33" spans="1:3" ht="21" thickBot="1" thickTop="1">
      <c r="A33" s="534" t="s">
        <v>556</v>
      </c>
      <c r="C33" s="557">
        <f>C32-C20</f>
        <v>645443.1999999993</v>
      </c>
    </row>
    <row r="34" ht="20.25" thickTop="1"/>
    <row r="36" spans="3:4" ht="19.5">
      <c r="C36" s="542"/>
      <c r="D36" s="542"/>
    </row>
    <row r="37" spans="3:4" ht="19.5">
      <c r="C37" s="542"/>
      <c r="D37" s="542"/>
    </row>
  </sheetData>
  <sheetProtection/>
  <mergeCells count="3">
    <mergeCell ref="A1:O1"/>
    <mergeCell ref="A2:O2"/>
    <mergeCell ref="A3:O3"/>
  </mergeCells>
  <printOptions/>
  <pageMargins left="0.07874015748031496" right="0.07874015748031496" top="0.34" bottom="0.16" header="0.34" footer="0.16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A2" sqref="A2:E2"/>
    </sheetView>
  </sheetViews>
  <sheetFormatPr defaultColWidth="9.140625" defaultRowHeight="23.25"/>
  <cols>
    <col min="1" max="1" width="20.57421875" style="565" customWidth="1"/>
    <col min="2" max="2" width="13.28125" style="576" customWidth="1"/>
    <col min="3" max="3" width="25.28125" style="576" bestFit="1" customWidth="1"/>
    <col min="4" max="4" width="19.8515625" style="576" customWidth="1"/>
    <col min="5" max="5" width="28.00390625" style="576" customWidth="1"/>
    <col min="6" max="12" width="17.57421875" style="576" customWidth="1"/>
    <col min="13" max="14" width="17.57421875" style="565" customWidth="1"/>
    <col min="15" max="16384" width="9.140625" style="565" customWidth="1"/>
  </cols>
  <sheetData>
    <row r="1" spans="1:14" ht="21">
      <c r="A1" s="730" t="s">
        <v>559</v>
      </c>
      <c r="B1" s="730"/>
      <c r="C1" s="730"/>
      <c r="D1" s="730"/>
      <c r="E1" s="730"/>
      <c r="F1" s="564"/>
      <c r="G1" s="564"/>
      <c r="H1" s="564"/>
      <c r="I1" s="564"/>
      <c r="J1" s="564"/>
      <c r="K1" s="564"/>
      <c r="L1" s="564"/>
      <c r="M1" s="564"/>
      <c r="N1" s="564"/>
    </row>
    <row r="2" spans="1:14" ht="21">
      <c r="A2" s="730" t="s">
        <v>146</v>
      </c>
      <c r="B2" s="730"/>
      <c r="C2" s="730"/>
      <c r="D2" s="730"/>
      <c r="E2" s="730"/>
      <c r="F2" s="564"/>
      <c r="G2" s="564"/>
      <c r="H2" s="564"/>
      <c r="I2" s="564"/>
      <c r="J2" s="564"/>
      <c r="K2" s="564"/>
      <c r="L2" s="564"/>
      <c r="M2" s="564"/>
      <c r="N2" s="564"/>
    </row>
    <row r="3" spans="1:14" s="567" customFormat="1" ht="21">
      <c r="A3" s="731" t="s">
        <v>605</v>
      </c>
      <c r="B3" s="731"/>
      <c r="C3" s="731"/>
      <c r="D3" s="731"/>
      <c r="E3" s="731"/>
      <c r="F3" s="566"/>
      <c r="G3" s="566"/>
      <c r="H3" s="566"/>
      <c r="I3" s="566"/>
      <c r="J3" s="566"/>
      <c r="K3" s="566"/>
      <c r="L3" s="566"/>
      <c r="M3" s="566"/>
      <c r="N3" s="566"/>
    </row>
    <row r="4" spans="1:12" ht="21">
      <c r="A4" s="732" t="s">
        <v>5</v>
      </c>
      <c r="B4" s="734" t="s">
        <v>4</v>
      </c>
      <c r="C4" s="583" t="s">
        <v>607</v>
      </c>
      <c r="D4" s="736" t="s">
        <v>609</v>
      </c>
      <c r="E4" s="737"/>
      <c r="F4" s="565"/>
      <c r="G4" s="565"/>
      <c r="H4" s="565"/>
      <c r="I4" s="565"/>
      <c r="J4" s="565"/>
      <c r="K4" s="565"/>
      <c r="L4" s="565"/>
    </row>
    <row r="5" spans="1:12" ht="23.25" customHeight="1">
      <c r="A5" s="733"/>
      <c r="B5" s="735"/>
      <c r="C5" s="586" t="s">
        <v>608</v>
      </c>
      <c r="D5" s="605" t="s">
        <v>606</v>
      </c>
      <c r="E5" s="568" t="s">
        <v>610</v>
      </c>
      <c r="F5" s="565"/>
      <c r="G5" s="565"/>
      <c r="H5" s="565"/>
      <c r="I5" s="565"/>
      <c r="J5" s="565"/>
      <c r="K5" s="565"/>
      <c r="L5" s="565"/>
    </row>
    <row r="6" spans="1:12" ht="21">
      <c r="A6" s="581" t="s">
        <v>94</v>
      </c>
      <c r="B6" s="569"/>
      <c r="C6" s="606"/>
      <c r="D6" s="606"/>
      <c r="E6" s="607"/>
      <c r="F6" s="565"/>
      <c r="G6" s="565"/>
      <c r="H6" s="565"/>
      <c r="I6" s="565"/>
      <c r="J6" s="565"/>
      <c r="K6" s="565"/>
      <c r="L6" s="565"/>
    </row>
    <row r="7" spans="1:12" ht="21">
      <c r="A7" s="570" t="s">
        <v>9</v>
      </c>
      <c r="B7" s="571">
        <f>SUM(C7:E7)</f>
        <v>263120</v>
      </c>
      <c r="C7" s="608">
        <f>202560+15330+23665</f>
        <v>241555</v>
      </c>
      <c r="D7" s="608">
        <f>19865</f>
        <v>19865</v>
      </c>
      <c r="E7" s="609">
        <f>1700</f>
        <v>1700</v>
      </c>
      <c r="F7" s="565"/>
      <c r="G7" s="565"/>
      <c r="H7" s="565"/>
      <c r="I7" s="565"/>
      <c r="J7" s="565"/>
      <c r="K7" s="565"/>
      <c r="L7" s="565"/>
    </row>
    <row r="8" spans="1:12" ht="21">
      <c r="A8" s="570" t="s">
        <v>27</v>
      </c>
      <c r="B8" s="571">
        <f aca="true" t="shared" si="0" ref="B8:B18">SUM(C8:E8)</f>
        <v>6450</v>
      </c>
      <c r="C8" s="608">
        <f>6450</f>
        <v>6450</v>
      </c>
      <c r="D8" s="608"/>
      <c r="E8" s="609"/>
      <c r="F8" s="565"/>
      <c r="G8" s="565"/>
      <c r="H8" s="565"/>
      <c r="I8" s="565"/>
      <c r="J8" s="565"/>
      <c r="K8" s="565"/>
      <c r="L8" s="565"/>
    </row>
    <row r="9" spans="1:12" ht="21">
      <c r="A9" s="570" t="s">
        <v>10</v>
      </c>
      <c r="B9" s="571">
        <f t="shared" si="0"/>
        <v>92880</v>
      </c>
      <c r="C9" s="608">
        <f>32400+17280</f>
        <v>49680</v>
      </c>
      <c r="D9" s="608">
        <f>10800</f>
        <v>10800</v>
      </c>
      <c r="E9" s="609">
        <f>32400</f>
        <v>32400</v>
      </c>
      <c r="F9" s="565"/>
      <c r="G9" s="565"/>
      <c r="H9" s="565"/>
      <c r="I9" s="565"/>
      <c r="J9" s="565"/>
      <c r="K9" s="565"/>
      <c r="L9" s="565"/>
    </row>
    <row r="10" spans="1:12" ht="21">
      <c r="A10" s="570" t="s">
        <v>11</v>
      </c>
      <c r="B10" s="571">
        <f t="shared" si="0"/>
        <v>338940</v>
      </c>
      <c r="C10" s="608">
        <f>338940</f>
        <v>338940</v>
      </c>
      <c r="D10" s="608"/>
      <c r="E10" s="609"/>
      <c r="F10" s="565"/>
      <c r="G10" s="565"/>
      <c r="H10" s="565"/>
      <c r="I10" s="565"/>
      <c r="J10" s="565"/>
      <c r="K10" s="565"/>
      <c r="L10" s="565"/>
    </row>
    <row r="11" spans="1:12" ht="21">
      <c r="A11" s="570" t="s">
        <v>12</v>
      </c>
      <c r="B11" s="571">
        <f t="shared" si="0"/>
        <v>0</v>
      </c>
      <c r="C11" s="608"/>
      <c r="D11" s="608"/>
      <c r="E11" s="609"/>
      <c r="F11" s="565"/>
      <c r="G11" s="565"/>
      <c r="H11" s="565"/>
      <c r="I11" s="565"/>
      <c r="J11" s="565"/>
      <c r="K11" s="565"/>
      <c r="L11" s="565"/>
    </row>
    <row r="12" spans="1:12" ht="21">
      <c r="A12" s="570" t="s">
        <v>13</v>
      </c>
      <c r="B12" s="571">
        <f t="shared" si="0"/>
        <v>0</v>
      </c>
      <c r="C12" s="608"/>
      <c r="D12" s="608"/>
      <c r="E12" s="609"/>
      <c r="F12" s="565"/>
      <c r="G12" s="565"/>
      <c r="H12" s="565"/>
      <c r="I12" s="565"/>
      <c r="J12" s="565"/>
      <c r="K12" s="565"/>
      <c r="L12" s="565"/>
    </row>
    <row r="13" spans="1:12" ht="21">
      <c r="A13" s="570" t="s">
        <v>43</v>
      </c>
      <c r="B13" s="571">
        <f t="shared" si="0"/>
        <v>0</v>
      </c>
      <c r="C13" s="608"/>
      <c r="D13" s="608"/>
      <c r="E13" s="609"/>
      <c r="F13" s="565"/>
      <c r="G13" s="565"/>
      <c r="H13" s="565"/>
      <c r="I13" s="565"/>
      <c r="J13" s="565"/>
      <c r="K13" s="565"/>
      <c r="L13" s="565"/>
    </row>
    <row r="14" spans="1:12" ht="21">
      <c r="A14" s="570" t="s">
        <v>16</v>
      </c>
      <c r="B14" s="608">
        <f t="shared" si="0"/>
        <v>825178.03</v>
      </c>
      <c r="C14" s="608"/>
      <c r="D14" s="608"/>
      <c r="E14" s="609">
        <f>412589.02+412589.01</f>
        <v>825178.03</v>
      </c>
      <c r="F14" s="565"/>
      <c r="G14" s="565"/>
      <c r="H14" s="565"/>
      <c r="I14" s="565"/>
      <c r="J14" s="565"/>
      <c r="K14" s="565"/>
      <c r="L14" s="565"/>
    </row>
    <row r="15" spans="1:12" ht="21">
      <c r="A15" s="570" t="s">
        <v>100</v>
      </c>
      <c r="B15" s="571">
        <f t="shared" si="0"/>
        <v>0</v>
      </c>
      <c r="C15" s="608"/>
      <c r="D15" s="608"/>
      <c r="E15" s="609"/>
      <c r="F15" s="565"/>
      <c r="G15" s="565"/>
      <c r="H15" s="565"/>
      <c r="I15" s="565"/>
      <c r="J15" s="565"/>
      <c r="K15" s="565"/>
      <c r="L15" s="565"/>
    </row>
    <row r="16" spans="1:12" ht="21">
      <c r="A16" s="570" t="s">
        <v>8</v>
      </c>
      <c r="B16" s="571">
        <f t="shared" si="0"/>
        <v>0</v>
      </c>
      <c r="C16" s="608"/>
      <c r="D16" s="608"/>
      <c r="E16" s="609"/>
      <c r="F16" s="565"/>
      <c r="G16" s="565"/>
      <c r="H16" s="565"/>
      <c r="I16" s="565"/>
      <c r="J16" s="565"/>
      <c r="K16" s="565"/>
      <c r="L16" s="565"/>
    </row>
    <row r="17" spans="1:12" ht="21">
      <c r="A17" s="570" t="s">
        <v>14</v>
      </c>
      <c r="B17" s="571">
        <f t="shared" si="0"/>
        <v>0</v>
      </c>
      <c r="C17" s="608"/>
      <c r="D17" s="608"/>
      <c r="E17" s="609"/>
      <c r="F17" s="565"/>
      <c r="G17" s="565"/>
      <c r="H17" s="565"/>
      <c r="I17" s="565"/>
      <c r="J17" s="565"/>
      <c r="K17" s="565"/>
      <c r="L17" s="565"/>
    </row>
    <row r="18" spans="1:12" ht="21">
      <c r="A18" s="572" t="s">
        <v>15</v>
      </c>
      <c r="B18" s="571">
        <f t="shared" si="0"/>
        <v>0</v>
      </c>
      <c r="C18" s="610"/>
      <c r="D18" s="611"/>
      <c r="E18" s="612"/>
      <c r="F18" s="565"/>
      <c r="G18" s="565"/>
      <c r="H18" s="565"/>
      <c r="I18" s="565"/>
      <c r="J18" s="565"/>
      <c r="K18" s="565"/>
      <c r="L18" s="565"/>
    </row>
    <row r="19" spans="1:12" ht="21.75" thickBot="1">
      <c r="A19" s="582" t="s">
        <v>4</v>
      </c>
      <c r="B19" s="613">
        <f>SUM(B7:B18)</f>
        <v>1526568.03</v>
      </c>
      <c r="C19" s="613">
        <f>SUM(C6:C18)</f>
        <v>636625</v>
      </c>
      <c r="D19" s="613">
        <f>SUM(D7:D18)</f>
        <v>30665</v>
      </c>
      <c r="E19" s="613">
        <f>SUM(E6:E18)</f>
        <v>859278.03</v>
      </c>
      <c r="F19" s="565"/>
      <c r="G19" s="565"/>
      <c r="H19" s="565"/>
      <c r="I19" s="565"/>
      <c r="J19" s="565"/>
      <c r="K19" s="565"/>
      <c r="L19" s="565"/>
    </row>
    <row r="20" spans="1:12" ht="21.75" thickTop="1">
      <c r="A20" s="573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</row>
    <row r="21" spans="1:12" ht="21">
      <c r="A21" s="575" t="s">
        <v>147</v>
      </c>
      <c r="B21" s="576" t="s">
        <v>148</v>
      </c>
      <c r="D21" s="574">
        <v>0</v>
      </c>
      <c r="E21" s="574" t="s">
        <v>149</v>
      </c>
      <c r="F21" s="574"/>
      <c r="G21" s="574"/>
      <c r="H21" s="574"/>
      <c r="I21" s="574"/>
      <c r="J21" s="574"/>
      <c r="K21" s="574"/>
      <c r="L21" s="576">
        <v>18000</v>
      </c>
    </row>
    <row r="22" spans="1:12" ht="21">
      <c r="A22" s="573" t="s">
        <v>150</v>
      </c>
      <c r="B22" s="574" t="s">
        <v>151</v>
      </c>
      <c r="C22" s="574"/>
      <c r="D22" s="574">
        <f>B19</f>
        <v>1526568.03</v>
      </c>
      <c r="E22" s="574" t="s">
        <v>149</v>
      </c>
      <c r="F22" s="574"/>
      <c r="G22" s="574"/>
      <c r="H22" s="574"/>
      <c r="I22" s="574"/>
      <c r="J22" s="574"/>
      <c r="K22" s="574"/>
      <c r="L22" s="576">
        <v>0</v>
      </c>
    </row>
    <row r="23" spans="1:12" ht="21.75" thickBot="1">
      <c r="A23" s="573"/>
      <c r="B23" s="574" t="s">
        <v>4</v>
      </c>
      <c r="C23" s="574"/>
      <c r="D23" s="577">
        <f>SUM(D21:D22)</f>
        <v>1526568.03</v>
      </c>
      <c r="E23" s="574" t="s">
        <v>149</v>
      </c>
      <c r="F23" s="574"/>
      <c r="G23" s="574"/>
      <c r="H23" s="574"/>
      <c r="I23" s="574"/>
      <c r="J23" s="574"/>
      <c r="K23" s="574"/>
      <c r="L23" s="578">
        <f>SUM(L21:L22)</f>
        <v>18000</v>
      </c>
    </row>
    <row r="24" spans="1:12" ht="21.75" thickTop="1">
      <c r="A24" s="573"/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</row>
    <row r="25" spans="1:12" ht="21">
      <c r="A25" s="573"/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</row>
    <row r="26" spans="1:12" ht="21">
      <c r="A26" s="573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</row>
    <row r="27" spans="1:12" ht="21">
      <c r="A27" s="579"/>
      <c r="B27" s="580"/>
      <c r="C27" s="580"/>
      <c r="D27" s="574"/>
      <c r="E27" s="574"/>
      <c r="F27" s="574"/>
      <c r="G27" s="574"/>
      <c r="H27" s="574"/>
      <c r="I27" s="574"/>
      <c r="J27" s="574"/>
      <c r="K27" s="574"/>
      <c r="L27" s="574"/>
    </row>
    <row r="28" spans="1:12" ht="21">
      <c r="A28" s="579"/>
      <c r="B28" s="580"/>
      <c r="C28" s="580"/>
      <c r="D28" s="574"/>
      <c r="E28" s="574"/>
      <c r="F28" s="574"/>
      <c r="G28" s="574"/>
      <c r="H28" s="574"/>
      <c r="I28" s="574"/>
      <c r="J28" s="574"/>
      <c r="K28" s="574"/>
      <c r="L28" s="574"/>
    </row>
    <row r="29" spans="1:12" ht="21">
      <c r="A29" s="579"/>
      <c r="B29" s="580"/>
      <c r="C29" s="580"/>
      <c r="D29" s="574"/>
      <c r="E29" s="574"/>
      <c r="G29" s="574"/>
      <c r="H29" s="574"/>
      <c r="I29" s="574"/>
      <c r="J29" s="574"/>
      <c r="K29" s="574"/>
      <c r="L29" s="574"/>
    </row>
    <row r="30" spans="1:12" ht="21">
      <c r="A30" s="579"/>
      <c r="B30" s="580"/>
      <c r="C30" s="580"/>
      <c r="D30" s="574"/>
      <c r="E30" s="574"/>
      <c r="G30" s="574"/>
      <c r="H30" s="574"/>
      <c r="I30" s="574"/>
      <c r="J30" s="574"/>
      <c r="K30" s="574"/>
      <c r="L30" s="574"/>
    </row>
    <row r="31" spans="1:12" ht="21">
      <c r="A31" s="573"/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</row>
    <row r="32" spans="1:12" ht="21">
      <c r="A32" s="573"/>
      <c r="B32" s="574"/>
      <c r="C32" s="574"/>
      <c r="D32" s="574"/>
      <c r="E32" s="574"/>
      <c r="F32" s="574"/>
      <c r="G32" s="574"/>
      <c r="H32" s="574"/>
      <c r="I32" s="574"/>
      <c r="J32" s="574"/>
      <c r="K32" s="574"/>
      <c r="L32" s="574"/>
    </row>
    <row r="33" spans="1:12" ht="21">
      <c r="A33" s="573"/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</row>
    <row r="34" spans="1:12" ht="21">
      <c r="A34" s="573"/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</row>
    <row r="35" spans="1:12" ht="21">
      <c r="A35" s="573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</row>
    <row r="36" spans="1:12" ht="21">
      <c r="A36" s="573"/>
      <c r="B36" s="574"/>
      <c r="C36" s="574"/>
      <c r="D36" s="574"/>
      <c r="E36" s="574"/>
      <c r="F36" s="574"/>
      <c r="G36" s="574"/>
      <c r="H36" s="574"/>
      <c r="I36" s="574"/>
      <c r="J36" s="574"/>
      <c r="K36" s="574"/>
      <c r="L36" s="574"/>
    </row>
    <row r="37" spans="1:12" ht="21">
      <c r="A37" s="573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</row>
    <row r="38" spans="1:12" ht="21">
      <c r="A38" s="573"/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</row>
    <row r="39" spans="1:12" ht="21">
      <c r="A39" s="573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</row>
    <row r="40" spans="1:12" ht="21">
      <c r="A40" s="573"/>
      <c r="B40" s="574"/>
      <c r="C40" s="574"/>
      <c r="D40" s="574"/>
      <c r="E40" s="574"/>
      <c r="F40" s="574"/>
      <c r="G40" s="574"/>
      <c r="H40" s="574"/>
      <c r="I40" s="574"/>
      <c r="J40" s="574"/>
      <c r="K40" s="574"/>
      <c r="L40" s="574"/>
    </row>
    <row r="41" spans="1:12" ht="21">
      <c r="A41" s="573"/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</row>
    <row r="42" spans="1:12" ht="21">
      <c r="A42" s="573"/>
      <c r="B42" s="574"/>
      <c r="C42" s="574"/>
      <c r="D42" s="574"/>
      <c r="E42" s="574"/>
      <c r="F42" s="574"/>
      <c r="G42" s="574"/>
      <c r="H42" s="574"/>
      <c r="I42" s="574"/>
      <c r="J42" s="574"/>
      <c r="K42" s="574"/>
      <c r="L42" s="574"/>
    </row>
    <row r="43" spans="1:12" ht="21">
      <c r="A43" s="573"/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</row>
    <row r="44" spans="1:12" ht="21">
      <c r="A44" s="573"/>
      <c r="B44" s="574"/>
      <c r="C44" s="574"/>
      <c r="D44" s="574"/>
      <c r="E44" s="574"/>
      <c r="F44" s="574"/>
      <c r="G44" s="574"/>
      <c r="H44" s="574"/>
      <c r="I44" s="574"/>
      <c r="J44" s="574"/>
      <c r="K44" s="574"/>
      <c r="L44" s="574"/>
    </row>
    <row r="45" spans="1:12" ht="21">
      <c r="A45" s="573"/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</row>
    <row r="46" spans="1:12" ht="21">
      <c r="A46" s="573"/>
      <c r="B46" s="574"/>
      <c r="C46" s="574"/>
      <c r="D46" s="574"/>
      <c r="E46" s="574"/>
      <c r="F46" s="574"/>
      <c r="G46" s="574"/>
      <c r="H46" s="574"/>
      <c r="I46" s="574"/>
      <c r="J46" s="574"/>
      <c r="K46" s="574"/>
      <c r="L46" s="574"/>
    </row>
    <row r="47" spans="1:12" ht="21">
      <c r="A47" s="573"/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</row>
    <row r="48" spans="1:12" ht="21">
      <c r="A48" s="573"/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4"/>
    </row>
    <row r="49" spans="1:12" ht="21">
      <c r="A49" s="573"/>
      <c r="B49" s="574"/>
      <c r="C49" s="574"/>
      <c r="D49" s="574"/>
      <c r="E49" s="574"/>
      <c r="F49" s="574"/>
      <c r="G49" s="574"/>
      <c r="H49" s="574"/>
      <c r="I49" s="574"/>
      <c r="J49" s="574"/>
      <c r="K49" s="574"/>
      <c r="L49" s="574"/>
    </row>
    <row r="50" spans="1:12" ht="21">
      <c r="A50" s="573"/>
      <c r="B50" s="574"/>
      <c r="C50" s="574"/>
      <c r="D50" s="574"/>
      <c r="E50" s="574"/>
      <c r="F50" s="574"/>
      <c r="G50" s="574"/>
      <c r="H50" s="574"/>
      <c r="I50" s="574"/>
      <c r="J50" s="574"/>
      <c r="K50" s="574"/>
      <c r="L50" s="574"/>
    </row>
    <row r="51" spans="1:12" ht="21">
      <c r="A51" s="573"/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</row>
    <row r="52" spans="1:12" ht="21">
      <c r="A52" s="573"/>
      <c r="B52" s="574"/>
      <c r="C52" s="574"/>
      <c r="D52" s="574"/>
      <c r="E52" s="574"/>
      <c r="F52" s="574"/>
      <c r="G52" s="574"/>
      <c r="H52" s="574"/>
      <c r="I52" s="574"/>
      <c r="J52" s="574"/>
      <c r="K52" s="574"/>
      <c r="L52" s="574"/>
    </row>
    <row r="53" spans="1:12" ht="21">
      <c r="A53" s="573"/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574"/>
    </row>
    <row r="54" spans="1:12" ht="21">
      <c r="A54" s="573"/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</row>
    <row r="55" spans="1:12" ht="21">
      <c r="A55" s="573"/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</row>
    <row r="56" spans="1:12" ht="21">
      <c r="A56" s="573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</row>
    <row r="57" spans="1:12" ht="21">
      <c r="A57" s="573"/>
      <c r="B57" s="574"/>
      <c r="C57" s="574"/>
      <c r="D57" s="574"/>
      <c r="E57" s="574"/>
      <c r="F57" s="574"/>
      <c r="G57" s="574"/>
      <c r="H57" s="574"/>
      <c r="I57" s="574"/>
      <c r="J57" s="574"/>
      <c r="K57" s="574"/>
      <c r="L57" s="574"/>
    </row>
    <row r="58" spans="1:12" ht="21">
      <c r="A58" s="573"/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</row>
    <row r="59" spans="1:12" ht="21">
      <c r="A59" s="573"/>
      <c r="B59" s="574"/>
      <c r="C59" s="574"/>
      <c r="D59" s="574"/>
      <c r="E59" s="574"/>
      <c r="F59" s="574"/>
      <c r="G59" s="574"/>
      <c r="H59" s="574"/>
      <c r="I59" s="574"/>
      <c r="J59" s="574"/>
      <c r="K59" s="574"/>
      <c r="L59" s="574"/>
    </row>
    <row r="60" spans="1:12" ht="21">
      <c r="A60" s="573"/>
      <c r="B60" s="574"/>
      <c r="C60" s="574"/>
      <c r="D60" s="574"/>
      <c r="E60" s="574"/>
      <c r="F60" s="574"/>
      <c r="G60" s="574"/>
      <c r="H60" s="574"/>
      <c r="I60" s="574"/>
      <c r="J60" s="574"/>
      <c r="K60" s="574"/>
      <c r="L60" s="574"/>
    </row>
    <row r="61" spans="1:12" ht="21">
      <c r="A61" s="573"/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4"/>
    </row>
    <row r="62" spans="1:12" ht="21">
      <c r="A62" s="573"/>
      <c r="B62" s="574"/>
      <c r="C62" s="574"/>
      <c r="D62" s="574"/>
      <c r="E62" s="574"/>
      <c r="F62" s="574"/>
      <c r="G62" s="574"/>
      <c r="H62" s="574"/>
      <c r="I62" s="574"/>
      <c r="J62" s="574"/>
      <c r="K62" s="574"/>
      <c r="L62" s="574"/>
    </row>
    <row r="63" spans="1:12" ht="21">
      <c r="A63" s="573"/>
      <c r="B63" s="574"/>
      <c r="C63" s="574"/>
      <c r="D63" s="574"/>
      <c r="E63" s="574"/>
      <c r="F63" s="574"/>
      <c r="G63" s="574"/>
      <c r="H63" s="574"/>
      <c r="I63" s="574"/>
      <c r="J63" s="574"/>
      <c r="K63" s="574"/>
      <c r="L63" s="574"/>
    </row>
    <row r="64" spans="1:12" ht="21">
      <c r="A64" s="573"/>
      <c r="B64" s="574"/>
      <c r="C64" s="574"/>
      <c r="D64" s="574"/>
      <c r="E64" s="574"/>
      <c r="F64" s="574"/>
      <c r="G64" s="574"/>
      <c r="H64" s="574"/>
      <c r="I64" s="574"/>
      <c r="J64" s="574"/>
      <c r="K64" s="574"/>
      <c r="L64" s="574"/>
    </row>
    <row r="65" spans="1:12" ht="21">
      <c r="A65" s="573"/>
      <c r="B65" s="574"/>
      <c r="C65" s="574"/>
      <c r="D65" s="574"/>
      <c r="E65" s="574"/>
      <c r="F65" s="574"/>
      <c r="G65" s="574"/>
      <c r="H65" s="574"/>
      <c r="I65" s="574"/>
      <c r="J65" s="574"/>
      <c r="K65" s="574"/>
      <c r="L65" s="574"/>
    </row>
    <row r="66" spans="1:12" ht="21">
      <c r="A66" s="573"/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</row>
    <row r="67" spans="1:12" ht="21">
      <c r="A67" s="573"/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</row>
    <row r="68" spans="1:12" ht="21">
      <c r="A68" s="573"/>
      <c r="B68" s="574"/>
      <c r="C68" s="574"/>
      <c r="D68" s="574"/>
      <c r="E68" s="574"/>
      <c r="F68" s="574"/>
      <c r="G68" s="574"/>
      <c r="H68" s="574"/>
      <c r="I68" s="574"/>
      <c r="J68" s="574"/>
      <c r="K68" s="574"/>
      <c r="L68" s="574"/>
    </row>
    <row r="69" spans="1:12" ht="21">
      <c r="A69" s="573"/>
      <c r="B69" s="574"/>
      <c r="C69" s="574"/>
      <c r="D69" s="574"/>
      <c r="E69" s="574"/>
      <c r="F69" s="574"/>
      <c r="G69" s="574"/>
      <c r="H69" s="574"/>
      <c r="I69" s="574"/>
      <c r="J69" s="574"/>
      <c r="K69" s="574"/>
      <c r="L69" s="574"/>
    </row>
    <row r="70" spans="1:12" ht="21">
      <c r="A70" s="573"/>
      <c r="B70" s="574"/>
      <c r="C70" s="574"/>
      <c r="D70" s="574"/>
      <c r="E70" s="574"/>
      <c r="F70" s="574"/>
      <c r="G70" s="574"/>
      <c r="H70" s="574"/>
      <c r="I70" s="574"/>
      <c r="J70" s="574"/>
      <c r="K70" s="574"/>
      <c r="L70" s="574"/>
    </row>
    <row r="71" spans="1:12" ht="21">
      <c r="A71" s="573"/>
      <c r="B71" s="574"/>
      <c r="C71" s="574"/>
      <c r="D71" s="574"/>
      <c r="E71" s="574"/>
      <c r="F71" s="574"/>
      <c r="G71" s="574"/>
      <c r="H71" s="574"/>
      <c r="I71" s="574"/>
      <c r="J71" s="574"/>
      <c r="K71" s="574"/>
      <c r="L71" s="574"/>
    </row>
    <row r="72" spans="1:12" ht="21">
      <c r="A72" s="573"/>
      <c r="B72" s="574"/>
      <c r="C72" s="574"/>
      <c r="D72" s="574"/>
      <c r="E72" s="574"/>
      <c r="F72" s="574"/>
      <c r="G72" s="574"/>
      <c r="H72" s="574"/>
      <c r="I72" s="574"/>
      <c r="J72" s="574"/>
      <c r="K72" s="574"/>
      <c r="L72" s="574"/>
    </row>
    <row r="73" spans="1:12" ht="21">
      <c r="A73" s="573"/>
      <c r="B73" s="574"/>
      <c r="C73" s="574"/>
      <c r="D73" s="574"/>
      <c r="E73" s="574"/>
      <c r="F73" s="574"/>
      <c r="G73" s="574"/>
      <c r="H73" s="574"/>
      <c r="I73" s="574"/>
      <c r="J73" s="574"/>
      <c r="K73" s="574"/>
      <c r="L73" s="574"/>
    </row>
    <row r="74" spans="1:12" ht="21">
      <c r="A74" s="573"/>
      <c r="B74" s="574"/>
      <c r="C74" s="574"/>
      <c r="D74" s="574"/>
      <c r="E74" s="574"/>
      <c r="F74" s="574"/>
      <c r="G74" s="574"/>
      <c r="H74" s="574"/>
      <c r="I74" s="574"/>
      <c r="J74" s="574"/>
      <c r="K74" s="574"/>
      <c r="L74" s="574"/>
    </row>
    <row r="75" spans="1:12" ht="21">
      <c r="A75" s="573"/>
      <c r="B75" s="574"/>
      <c r="C75" s="574"/>
      <c r="D75" s="574"/>
      <c r="E75" s="574"/>
      <c r="F75" s="574"/>
      <c r="G75" s="574"/>
      <c r="H75" s="574"/>
      <c r="I75" s="574"/>
      <c r="J75" s="574"/>
      <c r="K75" s="574"/>
      <c r="L75" s="574"/>
    </row>
    <row r="76" spans="1:12" ht="21">
      <c r="A76" s="573"/>
      <c r="B76" s="574"/>
      <c r="C76" s="574"/>
      <c r="D76" s="574"/>
      <c r="E76" s="574"/>
      <c r="F76" s="574"/>
      <c r="G76" s="574"/>
      <c r="H76" s="574"/>
      <c r="I76" s="574"/>
      <c r="J76" s="574"/>
      <c r="K76" s="574"/>
      <c r="L76" s="574"/>
    </row>
    <row r="77" spans="1:12" ht="21">
      <c r="A77" s="573"/>
      <c r="B77" s="574"/>
      <c r="C77" s="574"/>
      <c r="D77" s="574"/>
      <c r="E77" s="574"/>
      <c r="F77" s="574"/>
      <c r="G77" s="574"/>
      <c r="H77" s="574"/>
      <c r="I77" s="574"/>
      <c r="J77" s="574"/>
      <c r="K77" s="574"/>
      <c r="L77" s="574"/>
    </row>
    <row r="78" spans="1:12" ht="21">
      <c r="A78" s="573"/>
      <c r="B78" s="574"/>
      <c r="C78" s="574"/>
      <c r="D78" s="574"/>
      <c r="E78" s="574"/>
      <c r="F78" s="574"/>
      <c r="G78" s="574"/>
      <c r="H78" s="574"/>
      <c r="I78" s="574"/>
      <c r="J78" s="574"/>
      <c r="K78" s="574"/>
      <c r="L78" s="574"/>
    </row>
    <row r="79" spans="1:12" ht="21">
      <c r="A79" s="573"/>
      <c r="B79" s="574"/>
      <c r="C79" s="574"/>
      <c r="D79" s="574"/>
      <c r="E79" s="574"/>
      <c r="F79" s="574"/>
      <c r="G79" s="574"/>
      <c r="H79" s="574"/>
      <c r="I79" s="574"/>
      <c r="J79" s="574"/>
      <c r="K79" s="574"/>
      <c r="L79" s="574"/>
    </row>
    <row r="80" spans="1:12" ht="21">
      <c r="A80" s="573"/>
      <c r="B80" s="574"/>
      <c r="C80" s="574"/>
      <c r="D80" s="574"/>
      <c r="E80" s="574"/>
      <c r="F80" s="574"/>
      <c r="G80" s="574"/>
      <c r="H80" s="574"/>
      <c r="I80" s="574"/>
      <c r="J80" s="574"/>
      <c r="K80" s="574"/>
      <c r="L80" s="574"/>
    </row>
    <row r="81" spans="1:12" ht="21">
      <c r="A81" s="573"/>
      <c r="B81" s="574"/>
      <c r="C81" s="574"/>
      <c r="D81" s="574"/>
      <c r="E81" s="574"/>
      <c r="F81" s="574"/>
      <c r="G81" s="574"/>
      <c r="H81" s="574"/>
      <c r="I81" s="574"/>
      <c r="J81" s="574"/>
      <c r="K81" s="574"/>
      <c r="L81" s="574"/>
    </row>
    <row r="82" spans="1:12" ht="21">
      <c r="A82" s="573"/>
      <c r="B82" s="574"/>
      <c r="C82" s="574"/>
      <c r="D82" s="574"/>
      <c r="E82" s="574"/>
      <c r="F82" s="574"/>
      <c r="G82" s="574"/>
      <c r="H82" s="574"/>
      <c r="I82" s="574"/>
      <c r="J82" s="574"/>
      <c r="K82" s="574"/>
      <c r="L82" s="574"/>
    </row>
    <row r="83" spans="1:12" ht="21">
      <c r="A83" s="573"/>
      <c r="B83" s="574"/>
      <c r="C83" s="574"/>
      <c r="D83" s="574"/>
      <c r="E83" s="574"/>
      <c r="F83" s="574"/>
      <c r="G83" s="574"/>
      <c r="H83" s="574"/>
      <c r="I83" s="574"/>
      <c r="J83" s="574"/>
      <c r="K83" s="574"/>
      <c r="L83" s="574"/>
    </row>
    <row r="84" spans="1:12" ht="21">
      <c r="A84" s="573"/>
      <c r="B84" s="574"/>
      <c r="C84" s="574"/>
      <c r="D84" s="574"/>
      <c r="E84" s="574"/>
      <c r="F84" s="574"/>
      <c r="G84" s="574"/>
      <c r="H84" s="574"/>
      <c r="I84" s="574"/>
      <c r="J84" s="574"/>
      <c r="K84" s="574"/>
      <c r="L84" s="574"/>
    </row>
    <row r="85" spans="1:12" ht="21">
      <c r="A85" s="573"/>
      <c r="B85" s="574"/>
      <c r="C85" s="574"/>
      <c r="D85" s="574"/>
      <c r="E85" s="574"/>
      <c r="F85" s="574"/>
      <c r="G85" s="574"/>
      <c r="H85" s="574"/>
      <c r="I85" s="574"/>
      <c r="J85" s="574"/>
      <c r="K85" s="574"/>
      <c r="L85" s="574"/>
    </row>
    <row r="86" spans="1:12" ht="21">
      <c r="A86" s="573"/>
      <c r="B86" s="574"/>
      <c r="C86" s="574"/>
      <c r="D86" s="574"/>
      <c r="E86" s="574"/>
      <c r="F86" s="574"/>
      <c r="G86" s="574"/>
      <c r="H86" s="574"/>
      <c r="I86" s="574"/>
      <c r="J86" s="574"/>
      <c r="K86" s="574"/>
      <c r="L86" s="574"/>
    </row>
    <row r="87" spans="1:12" ht="21">
      <c r="A87" s="573"/>
      <c r="B87" s="574"/>
      <c r="C87" s="574"/>
      <c r="D87" s="574"/>
      <c r="E87" s="574"/>
      <c r="F87" s="574"/>
      <c r="G87" s="574"/>
      <c r="H87" s="574"/>
      <c r="I87" s="574"/>
      <c r="J87" s="574"/>
      <c r="K87" s="574"/>
      <c r="L87" s="574"/>
    </row>
    <row r="88" spans="1:12" ht="21">
      <c r="A88" s="573"/>
      <c r="B88" s="574"/>
      <c r="C88" s="574"/>
      <c r="D88" s="574"/>
      <c r="E88" s="574"/>
      <c r="F88" s="574"/>
      <c r="G88" s="574"/>
      <c r="H88" s="574"/>
      <c r="I88" s="574"/>
      <c r="J88" s="574"/>
      <c r="K88" s="574"/>
      <c r="L88" s="574"/>
    </row>
    <row r="89" spans="1:12" ht="21">
      <c r="A89" s="573"/>
      <c r="B89" s="574"/>
      <c r="C89" s="574"/>
      <c r="D89" s="574"/>
      <c r="E89" s="574"/>
      <c r="F89" s="574"/>
      <c r="G89" s="574"/>
      <c r="H89" s="574"/>
      <c r="I89" s="574"/>
      <c r="J89" s="574"/>
      <c r="K89" s="574"/>
      <c r="L89" s="574"/>
    </row>
  </sheetData>
  <sheetProtection/>
  <mergeCells count="6">
    <mergeCell ref="A1:E1"/>
    <mergeCell ref="A2:E2"/>
    <mergeCell ref="A3:E3"/>
    <mergeCell ref="A4:A5"/>
    <mergeCell ref="B4:B5"/>
    <mergeCell ref="D4:E4"/>
  </mergeCells>
  <printOptions/>
  <pageMargins left="0.28" right="0.19" top="0.59" bottom="0.35433070866141736" header="0.55" footer="0.275590551181102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showGridLines="0" zoomScalePageLayoutView="0" workbookViewId="0" topLeftCell="A1">
      <selection activeCell="A4" sqref="A4:H4"/>
    </sheetView>
  </sheetViews>
  <sheetFormatPr defaultColWidth="9.140625" defaultRowHeight="23.25"/>
  <cols>
    <col min="1" max="1" width="8.57421875" style="67" customWidth="1"/>
    <col min="2" max="3" width="9.140625" style="67" customWidth="1"/>
    <col min="4" max="4" width="11.140625" style="67" customWidth="1"/>
    <col min="5" max="5" width="12.28125" style="67" customWidth="1"/>
    <col min="6" max="6" width="14.00390625" style="67" customWidth="1"/>
    <col min="7" max="7" width="15.140625" style="84" customWidth="1"/>
    <col min="8" max="8" width="17.421875" style="49" customWidth="1"/>
    <col min="9" max="10" width="9.140625" style="67" customWidth="1"/>
    <col min="11" max="11" width="13.57421875" style="67" bestFit="1" customWidth="1"/>
    <col min="12" max="16384" width="9.140625" style="67" customWidth="1"/>
  </cols>
  <sheetData>
    <row r="1" ht="23.25">
      <c r="H1" s="78"/>
    </row>
    <row r="2" spans="1:9" ht="23.25">
      <c r="A2" s="650" t="s">
        <v>418</v>
      </c>
      <c r="B2" s="650"/>
      <c r="C2" s="650"/>
      <c r="D2" s="650"/>
      <c r="E2" s="650"/>
      <c r="F2" s="650"/>
      <c r="G2" s="650"/>
      <c r="H2" s="650"/>
      <c r="I2" s="68"/>
    </row>
    <row r="3" spans="1:9" ht="23.25">
      <c r="A3" s="650" t="s">
        <v>472</v>
      </c>
      <c r="B3" s="650"/>
      <c r="C3" s="650"/>
      <c r="D3" s="650"/>
      <c r="E3" s="650"/>
      <c r="F3" s="650"/>
      <c r="G3" s="650"/>
      <c r="H3" s="650"/>
      <c r="I3" s="68"/>
    </row>
    <row r="4" spans="1:9" ht="23.25">
      <c r="A4" s="650" t="s">
        <v>425</v>
      </c>
      <c r="B4" s="650"/>
      <c r="C4" s="650"/>
      <c r="D4" s="650"/>
      <c r="E4" s="650"/>
      <c r="F4" s="650"/>
      <c r="G4" s="650"/>
      <c r="H4" s="650"/>
      <c r="I4" s="68"/>
    </row>
    <row r="5" ht="23.25">
      <c r="J5" s="103"/>
    </row>
    <row r="6" spans="1:9" s="92" customFormat="1" ht="23.25">
      <c r="A6" s="67" t="s">
        <v>428</v>
      </c>
      <c r="B6" s="67"/>
      <c r="C6" s="67"/>
      <c r="D6" s="67"/>
      <c r="E6" s="67"/>
      <c r="F6" s="67"/>
      <c r="G6" s="84"/>
      <c r="H6" s="66">
        <v>3267096.33</v>
      </c>
      <c r="I6" s="67"/>
    </row>
    <row r="7" spans="1:9" s="92" customFormat="1" ht="22.5" customHeight="1">
      <c r="A7" s="104"/>
      <c r="B7" s="67" t="s">
        <v>54</v>
      </c>
      <c r="C7" s="67"/>
      <c r="D7" s="67"/>
      <c r="E7" s="67"/>
      <c r="F7" s="49" t="e">
        <f>#REF!</f>
        <v>#REF!</v>
      </c>
      <c r="G7" s="84"/>
      <c r="H7" s="49"/>
      <c r="I7" s="67"/>
    </row>
    <row r="8" spans="1:9" s="92" customFormat="1" ht="23.25">
      <c r="A8" s="104"/>
      <c r="B8" s="105" t="s">
        <v>157</v>
      </c>
      <c r="C8" s="67"/>
      <c r="D8" s="67"/>
      <c r="E8" s="67"/>
      <c r="F8" s="285" t="e">
        <f>-#REF!</f>
        <v>#REF!</v>
      </c>
      <c r="G8" s="84"/>
      <c r="H8" s="49"/>
      <c r="I8" s="67"/>
    </row>
    <row r="9" spans="1:9" s="92" customFormat="1" ht="22.5" customHeight="1">
      <c r="A9" s="104" t="s">
        <v>136</v>
      </c>
      <c r="B9" s="106" t="s">
        <v>137</v>
      </c>
      <c r="C9" s="67"/>
      <c r="D9" s="67"/>
      <c r="E9" s="67"/>
      <c r="F9" s="49"/>
      <c r="G9" s="84" t="e">
        <f>SUM(F7:F8)</f>
        <v>#REF!</v>
      </c>
      <c r="H9" s="49"/>
      <c r="I9" s="67"/>
    </row>
    <row r="10" spans="1:9" s="92" customFormat="1" ht="22.5" customHeight="1">
      <c r="A10" s="104"/>
      <c r="B10" s="67" t="s">
        <v>138</v>
      </c>
      <c r="C10" s="67"/>
      <c r="D10" s="67"/>
      <c r="E10" s="67"/>
      <c r="F10" s="49"/>
      <c r="G10" s="84">
        <v>1965.78</v>
      </c>
      <c r="H10" s="49"/>
      <c r="I10" s="67"/>
    </row>
    <row r="11" spans="1:9" s="92" customFormat="1" ht="22.5" customHeight="1">
      <c r="A11" s="104"/>
      <c r="B11" s="67" t="s">
        <v>429</v>
      </c>
      <c r="C11" s="67"/>
      <c r="D11" s="67"/>
      <c r="E11" s="67"/>
      <c r="F11" s="49"/>
      <c r="G11" s="84" t="e">
        <f>#REF!</f>
        <v>#REF!</v>
      </c>
      <c r="H11" s="49"/>
      <c r="I11" s="67"/>
    </row>
    <row r="12" spans="1:9" s="92" customFormat="1" ht="22.5" customHeight="1">
      <c r="A12" s="104"/>
      <c r="B12" s="67" t="s">
        <v>430</v>
      </c>
      <c r="C12" s="67"/>
      <c r="D12" s="67"/>
      <c r="E12" s="67"/>
      <c r="F12" s="49"/>
      <c r="G12" s="84" t="e">
        <f>ประกอบเงินสะสม!E17</f>
        <v>#REF!</v>
      </c>
      <c r="H12" s="49"/>
      <c r="I12" s="67"/>
    </row>
    <row r="13" spans="1:9" s="92" customFormat="1" ht="22.5" customHeight="1">
      <c r="A13" s="104"/>
      <c r="B13" s="67" t="s">
        <v>435</v>
      </c>
      <c r="C13" s="67"/>
      <c r="D13" s="67"/>
      <c r="E13" s="67"/>
      <c r="F13" s="49"/>
      <c r="G13" s="84">
        <v>29178</v>
      </c>
      <c r="H13" s="49"/>
      <c r="I13" s="67"/>
    </row>
    <row r="14" spans="1:9" s="92" customFormat="1" ht="22.5" customHeight="1">
      <c r="A14" s="104"/>
      <c r="B14" s="67" t="s">
        <v>436</v>
      </c>
      <c r="C14" s="67"/>
      <c r="D14" s="67"/>
      <c r="E14" s="67"/>
      <c r="F14" s="49"/>
      <c r="G14" s="84">
        <v>544.86</v>
      </c>
      <c r="H14" s="49"/>
      <c r="I14" s="67"/>
    </row>
    <row r="15" spans="1:9" s="92" customFormat="1" ht="22.5" customHeight="1">
      <c r="A15" s="104"/>
      <c r="B15" s="67" t="s">
        <v>419</v>
      </c>
      <c r="C15" s="67"/>
      <c r="D15" s="67"/>
      <c r="E15" s="67"/>
      <c r="F15" s="49"/>
      <c r="G15" s="84">
        <v>530.12</v>
      </c>
      <c r="H15" s="49"/>
      <c r="I15" s="67"/>
    </row>
    <row r="16" spans="1:9" s="92" customFormat="1" ht="22.5" customHeight="1">
      <c r="A16" s="104"/>
      <c r="B16" s="90" t="e">
        <f>#REF!</f>
        <v>#REF!</v>
      </c>
      <c r="C16" s="67"/>
      <c r="D16" s="67"/>
      <c r="E16" s="67"/>
      <c r="F16" s="49" t="s">
        <v>431</v>
      </c>
      <c r="G16" s="511" t="e">
        <f>#REF!</f>
        <v>#REF!</v>
      </c>
      <c r="H16" s="49" t="e">
        <f>SUM(G9:G16)</f>
        <v>#REF!</v>
      </c>
      <c r="I16" s="67"/>
    </row>
    <row r="17" spans="1:8" ht="24" thickBot="1">
      <c r="A17" s="67" t="s">
        <v>437</v>
      </c>
      <c r="H17" s="107" t="e">
        <f>SUM(H6:H16)</f>
        <v>#REF!</v>
      </c>
    </row>
    <row r="18" spans="6:8" ht="24" thickTop="1">
      <c r="F18" s="49"/>
      <c r="H18" s="49" t="s">
        <v>3</v>
      </c>
    </row>
  </sheetData>
  <sheetProtection/>
  <mergeCells count="3">
    <mergeCell ref="A2:H2"/>
    <mergeCell ref="A3:H3"/>
    <mergeCell ref="A4:H4"/>
  </mergeCells>
  <printOptions/>
  <pageMargins left="0.7480314960629921" right="0.35433070866141736" top="0.83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3" sqref="A3:I3"/>
    </sheetView>
  </sheetViews>
  <sheetFormatPr defaultColWidth="9.140625" defaultRowHeight="23.25"/>
  <cols>
    <col min="1" max="1" width="10.28125" style="9" bestFit="1" customWidth="1"/>
    <col min="2" max="2" width="39.00390625" style="9" customWidth="1"/>
    <col min="3" max="3" width="15.57421875" style="3" customWidth="1"/>
    <col min="4" max="7" width="14.28125" style="3" customWidth="1"/>
    <col min="8" max="8" width="14.57421875" style="3" customWidth="1"/>
    <col min="9" max="9" width="25.421875" style="9" customWidth="1"/>
    <col min="10" max="10" width="9.140625" style="9" customWidth="1"/>
    <col min="11" max="11" width="10.7109375" style="9" customWidth="1"/>
    <col min="12" max="16384" width="9.140625" style="9" customWidth="1"/>
  </cols>
  <sheetData>
    <row r="1" spans="1:11" ht="23.25">
      <c r="A1" s="641" t="s">
        <v>640</v>
      </c>
      <c r="B1" s="641"/>
      <c r="C1" s="641"/>
      <c r="D1" s="641"/>
      <c r="E1" s="641"/>
      <c r="F1" s="641"/>
      <c r="G1" s="641"/>
      <c r="H1" s="641"/>
      <c r="I1" s="640" t="s">
        <v>639</v>
      </c>
      <c r="J1" s="614"/>
      <c r="K1" s="614"/>
    </row>
    <row r="2" spans="1:11" ht="23.25">
      <c r="A2" s="679" t="s">
        <v>71</v>
      </c>
      <c r="B2" s="679"/>
      <c r="C2" s="679"/>
      <c r="D2" s="679"/>
      <c r="E2" s="679"/>
      <c r="F2" s="679"/>
      <c r="G2" s="679"/>
      <c r="H2" s="679"/>
      <c r="I2" s="679"/>
      <c r="J2" s="614"/>
      <c r="K2" s="614"/>
    </row>
    <row r="3" spans="1:11" ht="23.25">
      <c r="A3" s="738" t="s">
        <v>594</v>
      </c>
      <c r="B3" s="738"/>
      <c r="C3" s="738"/>
      <c r="D3" s="738"/>
      <c r="E3" s="738"/>
      <c r="F3" s="738"/>
      <c r="G3" s="738"/>
      <c r="H3" s="738"/>
      <c r="I3" s="738"/>
      <c r="J3" s="614"/>
      <c r="K3" s="614"/>
    </row>
    <row r="4" spans="1:11" ht="23.25">
      <c r="A4" s="638"/>
      <c r="B4" s="638"/>
      <c r="C4" s="639"/>
      <c r="D4" s="639"/>
      <c r="E4" s="638"/>
      <c r="F4" s="638"/>
      <c r="G4" s="638"/>
      <c r="H4" s="638"/>
      <c r="I4" s="638"/>
      <c r="J4" s="614"/>
      <c r="K4" s="614"/>
    </row>
    <row r="5" spans="1:9" ht="23.25">
      <c r="A5" s="615" t="s">
        <v>29</v>
      </c>
      <c r="B5" s="741" t="s">
        <v>60</v>
      </c>
      <c r="C5" s="743" t="s">
        <v>72</v>
      </c>
      <c r="D5" s="744"/>
      <c r="E5" s="745" t="s">
        <v>62</v>
      </c>
      <c r="F5" s="745" t="s">
        <v>61</v>
      </c>
      <c r="G5" s="616" t="s">
        <v>73</v>
      </c>
      <c r="H5" s="745" t="s">
        <v>74</v>
      </c>
      <c r="I5" s="739" t="s">
        <v>35</v>
      </c>
    </row>
    <row r="6" spans="1:9" ht="23.25">
      <c r="A6" s="617" t="s">
        <v>75</v>
      </c>
      <c r="B6" s="742"/>
      <c r="C6" s="618" t="s">
        <v>76</v>
      </c>
      <c r="D6" s="619" t="s">
        <v>77</v>
      </c>
      <c r="E6" s="746"/>
      <c r="F6" s="746"/>
      <c r="G6" s="619" t="s">
        <v>611</v>
      </c>
      <c r="H6" s="746"/>
      <c r="I6" s="740"/>
    </row>
    <row r="7" spans="1:9" ht="23.25">
      <c r="A7" s="620" t="s">
        <v>568</v>
      </c>
      <c r="B7" s="621" t="s">
        <v>569</v>
      </c>
      <c r="C7" s="622">
        <v>836413.03</v>
      </c>
      <c r="D7" s="563"/>
      <c r="E7" s="622">
        <v>825178.03</v>
      </c>
      <c r="F7" s="623">
        <f>412589.02+412589.01</f>
        <v>825178.03</v>
      </c>
      <c r="G7" s="623">
        <v>0</v>
      </c>
      <c r="H7" s="623"/>
      <c r="I7" s="620" t="s">
        <v>637</v>
      </c>
    </row>
    <row r="8" spans="1:9" ht="23.25">
      <c r="A8" s="624"/>
      <c r="B8" s="621" t="s">
        <v>570</v>
      </c>
      <c r="C8" s="622"/>
      <c r="D8" s="563"/>
      <c r="E8" s="622"/>
      <c r="F8" s="623"/>
      <c r="G8" s="623"/>
      <c r="H8" s="623"/>
      <c r="I8" s="620" t="s">
        <v>571</v>
      </c>
    </row>
    <row r="9" spans="1:9" s="11" customFormat="1" ht="23.25">
      <c r="A9" s="624"/>
      <c r="B9" s="621"/>
      <c r="C9" s="622"/>
      <c r="D9" s="563"/>
      <c r="E9" s="622"/>
      <c r="F9" s="623"/>
      <c r="G9" s="623"/>
      <c r="H9" s="623"/>
      <c r="I9" s="620" t="s">
        <v>572</v>
      </c>
    </row>
    <row r="10" spans="1:9" s="11" customFormat="1" ht="23.25">
      <c r="A10" s="624"/>
      <c r="B10" s="621"/>
      <c r="C10" s="622"/>
      <c r="D10" s="563"/>
      <c r="E10" s="622"/>
      <c r="F10" s="623"/>
      <c r="G10" s="623"/>
      <c r="H10" s="623"/>
      <c r="I10" s="620"/>
    </row>
    <row r="11" spans="1:9" ht="23.25">
      <c r="A11" s="625" t="s">
        <v>612</v>
      </c>
      <c r="B11" s="626" t="s">
        <v>613</v>
      </c>
      <c r="C11" s="622">
        <v>541500</v>
      </c>
      <c r="D11" s="623"/>
      <c r="E11" s="623">
        <v>202560</v>
      </c>
      <c r="F11" s="623">
        <v>202560</v>
      </c>
      <c r="G11" s="623">
        <v>0</v>
      </c>
      <c r="H11" s="623"/>
      <c r="I11" s="624"/>
    </row>
    <row r="12" spans="1:9" ht="23.25">
      <c r="A12" s="620"/>
      <c r="B12" s="621" t="s">
        <v>614</v>
      </c>
      <c r="C12" s="622"/>
      <c r="D12" s="563"/>
      <c r="E12" s="622"/>
      <c r="F12" s="623"/>
      <c r="G12" s="623"/>
      <c r="H12" s="623"/>
      <c r="I12" s="624"/>
    </row>
    <row r="13" spans="1:9" ht="23.25">
      <c r="A13" s="620"/>
      <c r="B13" s="621" t="s">
        <v>638</v>
      </c>
      <c r="C13" s="622"/>
      <c r="D13" s="563"/>
      <c r="E13" s="622">
        <v>338940</v>
      </c>
      <c r="F13" s="623">
        <v>338940</v>
      </c>
      <c r="G13" s="623">
        <v>0</v>
      </c>
      <c r="H13" s="623"/>
      <c r="I13" s="625"/>
    </row>
    <row r="14" spans="1:9" ht="23.25">
      <c r="A14" s="620"/>
      <c r="B14" s="621" t="s">
        <v>567</v>
      </c>
      <c r="C14" s="622"/>
      <c r="D14" s="563"/>
      <c r="E14" s="622"/>
      <c r="F14" s="623"/>
      <c r="G14" s="623"/>
      <c r="H14" s="623"/>
      <c r="I14" s="624"/>
    </row>
    <row r="15" spans="1:9" ht="23.25">
      <c r="A15" s="620"/>
      <c r="B15" s="621"/>
      <c r="C15" s="622"/>
      <c r="D15" s="563"/>
      <c r="E15" s="622"/>
      <c r="F15" s="623"/>
      <c r="G15" s="623"/>
      <c r="H15" s="623"/>
      <c r="I15" s="624" t="s">
        <v>616</v>
      </c>
    </row>
    <row r="16" spans="1:9" ht="23.25">
      <c r="A16" s="620" t="s">
        <v>612</v>
      </c>
      <c r="B16" s="621" t="s">
        <v>618</v>
      </c>
      <c r="C16" s="622">
        <v>195613</v>
      </c>
      <c r="D16" s="563"/>
      <c r="E16" s="622">
        <v>60560</v>
      </c>
      <c r="F16" s="623">
        <v>60560</v>
      </c>
      <c r="G16" s="623">
        <v>0</v>
      </c>
      <c r="H16" s="623"/>
      <c r="I16" s="624" t="s">
        <v>615</v>
      </c>
    </row>
    <row r="17" spans="1:9" ht="23.25">
      <c r="A17" s="620"/>
      <c r="B17" s="621" t="s">
        <v>619</v>
      </c>
      <c r="C17" s="622"/>
      <c r="D17" s="563"/>
      <c r="E17" s="622"/>
      <c r="F17" s="623"/>
      <c r="G17" s="623"/>
      <c r="H17" s="623"/>
      <c r="I17" s="625" t="s">
        <v>617</v>
      </c>
    </row>
    <row r="18" spans="1:9" ht="23.25">
      <c r="A18" s="620"/>
      <c r="B18" s="621"/>
      <c r="C18" s="622"/>
      <c r="D18" s="563"/>
      <c r="E18" s="622"/>
      <c r="F18" s="623"/>
      <c r="G18" s="623"/>
      <c r="H18" s="623"/>
      <c r="I18" s="625"/>
    </row>
    <row r="19" spans="1:9" ht="23.25">
      <c r="A19" s="620"/>
      <c r="B19" s="621" t="s">
        <v>620</v>
      </c>
      <c r="C19" s="622"/>
      <c r="D19" s="563"/>
      <c r="E19" s="622">
        <v>6450</v>
      </c>
      <c r="F19" s="623">
        <v>6450</v>
      </c>
      <c r="G19" s="623">
        <v>0</v>
      </c>
      <c r="H19" s="623"/>
      <c r="I19" s="620"/>
    </row>
    <row r="20" spans="1:9" ht="23.25">
      <c r="A20" s="620"/>
      <c r="B20" s="621" t="s">
        <v>623</v>
      </c>
      <c r="C20" s="622"/>
      <c r="D20" s="563"/>
      <c r="E20" s="622"/>
      <c r="F20" s="623"/>
      <c r="G20" s="623"/>
      <c r="H20" s="623"/>
      <c r="I20" s="620"/>
    </row>
    <row r="21" spans="1:9" ht="23.25">
      <c r="A21" s="620"/>
      <c r="B21" s="621"/>
      <c r="C21" s="622"/>
      <c r="D21" s="563"/>
      <c r="E21" s="622"/>
      <c r="F21" s="623"/>
      <c r="G21" s="623"/>
      <c r="H21" s="623"/>
      <c r="I21" s="620"/>
    </row>
    <row r="22" spans="1:9" ht="23.25">
      <c r="A22" s="620"/>
      <c r="B22" s="621" t="s">
        <v>621</v>
      </c>
      <c r="C22" s="622"/>
      <c r="D22" s="563"/>
      <c r="E22" s="622">
        <v>92880</v>
      </c>
      <c r="F22" s="623">
        <v>92880</v>
      </c>
      <c r="G22" s="623">
        <v>0</v>
      </c>
      <c r="H22" s="623"/>
      <c r="I22" s="620"/>
    </row>
    <row r="23" spans="1:9" ht="23.25">
      <c r="A23" s="620"/>
      <c r="B23" s="621" t="s">
        <v>622</v>
      </c>
      <c r="C23" s="622"/>
      <c r="D23" s="563"/>
      <c r="E23" s="622"/>
      <c r="F23" s="623"/>
      <c r="G23" s="623"/>
      <c r="H23" s="623"/>
      <c r="I23" s="620"/>
    </row>
    <row r="24" spans="1:9" ht="23.25">
      <c r="A24" s="620"/>
      <c r="B24" s="621"/>
      <c r="C24" s="622"/>
      <c r="D24" s="563"/>
      <c r="E24" s="622"/>
      <c r="F24" s="623"/>
      <c r="G24" s="623"/>
      <c r="H24" s="623"/>
      <c r="I24" s="620"/>
    </row>
    <row r="25" spans="1:9" ht="23.25">
      <c r="A25" s="620"/>
      <c r="B25" s="621"/>
      <c r="C25" s="622"/>
      <c r="D25" s="563"/>
      <c r="E25" s="622"/>
      <c r="F25" s="623"/>
      <c r="G25" s="623"/>
      <c r="H25" s="623"/>
      <c r="I25" s="620"/>
    </row>
    <row r="26" spans="1:9" s="630" customFormat="1" ht="23.25">
      <c r="A26" s="627"/>
      <c r="B26" s="628"/>
      <c r="C26" s="618"/>
      <c r="D26" s="629"/>
      <c r="E26" s="618"/>
      <c r="F26" s="619"/>
      <c r="G26" s="619"/>
      <c r="H26" s="619"/>
      <c r="I26" s="627"/>
    </row>
    <row r="27" spans="1:9" ht="23.25">
      <c r="A27" s="620" t="s">
        <v>624</v>
      </c>
      <c r="B27" s="621" t="s">
        <v>625</v>
      </c>
      <c r="C27" s="622">
        <v>84000</v>
      </c>
      <c r="D27" s="563"/>
      <c r="E27" s="622"/>
      <c r="F27" s="623"/>
      <c r="G27" s="623">
        <v>84000</v>
      </c>
      <c r="H27" s="623">
        <v>84000</v>
      </c>
      <c r="I27" s="620"/>
    </row>
    <row r="28" spans="1:9" ht="23.25">
      <c r="A28" s="620"/>
      <c r="B28" s="621" t="s">
        <v>629</v>
      </c>
      <c r="C28" s="622"/>
      <c r="D28" s="563"/>
      <c r="E28" s="622"/>
      <c r="F28" s="623"/>
      <c r="G28" s="623"/>
      <c r="H28" s="623"/>
      <c r="I28" s="620"/>
    </row>
    <row r="29" spans="1:9" ht="23.25">
      <c r="A29" s="620"/>
      <c r="B29" s="621"/>
      <c r="C29" s="622"/>
      <c r="D29" s="563"/>
      <c r="E29" s="622"/>
      <c r="F29" s="623"/>
      <c r="G29" s="623"/>
      <c r="H29" s="623"/>
      <c r="I29" s="620"/>
    </row>
    <row r="30" spans="1:9" ht="23.25">
      <c r="A30" s="620"/>
      <c r="B30" s="621" t="s">
        <v>626</v>
      </c>
      <c r="C30" s="622">
        <v>76700</v>
      </c>
      <c r="D30" s="563"/>
      <c r="E30" s="622"/>
      <c r="F30" s="623"/>
      <c r="G30" s="623">
        <v>76700</v>
      </c>
      <c r="H30" s="623">
        <v>76700</v>
      </c>
      <c r="I30" s="631" t="s">
        <v>633</v>
      </c>
    </row>
    <row r="31" spans="1:9" ht="23.25">
      <c r="A31" s="620"/>
      <c r="B31" s="621" t="s">
        <v>627</v>
      </c>
      <c r="C31" s="622"/>
      <c r="D31" s="563"/>
      <c r="E31" s="622"/>
      <c r="F31" s="623"/>
      <c r="G31" s="623"/>
      <c r="H31" s="623"/>
      <c r="I31" s="631" t="s">
        <v>634</v>
      </c>
    </row>
    <row r="32" spans="1:9" ht="23.25">
      <c r="A32" s="620"/>
      <c r="B32" s="621" t="s">
        <v>628</v>
      </c>
      <c r="C32" s="622"/>
      <c r="D32" s="563"/>
      <c r="E32" s="622"/>
      <c r="F32" s="623"/>
      <c r="G32" s="623"/>
      <c r="H32" s="623"/>
      <c r="I32" s="632" t="s">
        <v>635</v>
      </c>
    </row>
    <row r="33" spans="1:9" ht="23.25">
      <c r="A33" s="620"/>
      <c r="B33" s="621"/>
      <c r="C33" s="622"/>
      <c r="D33" s="563"/>
      <c r="E33" s="622"/>
      <c r="F33" s="623"/>
      <c r="G33" s="623"/>
      <c r="H33" s="623"/>
      <c r="I33" s="631" t="s">
        <v>636</v>
      </c>
    </row>
    <row r="34" spans="1:9" ht="23.25">
      <c r="A34" s="620"/>
      <c r="B34" s="621" t="s">
        <v>630</v>
      </c>
      <c r="C34" s="622">
        <v>29000</v>
      </c>
      <c r="D34" s="563"/>
      <c r="E34" s="622"/>
      <c r="F34" s="623"/>
      <c r="G34" s="623">
        <v>29000</v>
      </c>
      <c r="H34" s="623">
        <v>29000</v>
      </c>
      <c r="I34" s="620"/>
    </row>
    <row r="35" spans="1:9" ht="23.25">
      <c r="A35" s="620"/>
      <c r="B35" s="621" t="s">
        <v>631</v>
      </c>
      <c r="C35" s="622"/>
      <c r="D35" s="563"/>
      <c r="E35" s="622"/>
      <c r="F35" s="623"/>
      <c r="G35" s="623"/>
      <c r="H35" s="623"/>
      <c r="I35" s="620"/>
    </row>
    <row r="36" spans="1:9" ht="23.25">
      <c r="A36" s="624"/>
      <c r="B36" s="621" t="s">
        <v>632</v>
      </c>
      <c r="C36" s="622"/>
      <c r="D36" s="563"/>
      <c r="E36" s="622"/>
      <c r="F36" s="623"/>
      <c r="G36" s="623"/>
      <c r="H36" s="623"/>
      <c r="I36" s="620"/>
    </row>
    <row r="37" spans="1:9" ht="23.25">
      <c r="A37" s="624"/>
      <c r="B37" s="621"/>
      <c r="C37" s="622"/>
      <c r="D37" s="563"/>
      <c r="E37" s="622"/>
      <c r="F37" s="623"/>
      <c r="G37" s="623"/>
      <c r="H37" s="623"/>
      <c r="I37" s="620"/>
    </row>
    <row r="38" spans="1:9" ht="23.25">
      <c r="A38" s="624"/>
      <c r="B38" s="621"/>
      <c r="C38" s="622"/>
      <c r="D38" s="563"/>
      <c r="E38" s="622"/>
      <c r="F38" s="623"/>
      <c r="G38" s="623"/>
      <c r="H38" s="623"/>
      <c r="I38" s="620"/>
    </row>
    <row r="39" spans="1:9" ht="24" thickBot="1">
      <c r="A39" s="125"/>
      <c r="B39" s="633" t="s">
        <v>4</v>
      </c>
      <c r="C39" s="634">
        <f>SUM(C7:C36)</f>
        <v>1763226.03</v>
      </c>
      <c r="D39" s="634">
        <f>SUM(D12:D36)</f>
        <v>0</v>
      </c>
      <c r="E39" s="634">
        <f>SUM(E7:E36)</f>
        <v>1526568.03</v>
      </c>
      <c r="F39" s="634">
        <f>SUM(F7:F36)</f>
        <v>1526568.03</v>
      </c>
      <c r="G39" s="634">
        <f>SUM(G11:G36)</f>
        <v>189700</v>
      </c>
      <c r="H39" s="634">
        <f>SUM(H11:H36)</f>
        <v>189700</v>
      </c>
      <c r="I39" s="635" t="s">
        <v>3</v>
      </c>
    </row>
    <row r="40" ht="24" thickTop="1">
      <c r="I40" s="636"/>
    </row>
    <row r="41" spans="3:4" ht="23.25">
      <c r="C41" s="637" t="s">
        <v>3</v>
      </c>
      <c r="D41" s="637"/>
    </row>
  </sheetData>
  <sheetProtection/>
  <mergeCells count="8">
    <mergeCell ref="A2:I2"/>
    <mergeCell ref="A3:I3"/>
    <mergeCell ref="I5:I6"/>
    <mergeCell ref="B5:B6"/>
    <mergeCell ref="C5:D5"/>
    <mergeCell ref="E5:E6"/>
    <mergeCell ref="H5:H6"/>
    <mergeCell ref="F5:F6"/>
  </mergeCells>
  <printOptions/>
  <pageMargins left="0.46" right="0.1968503937007874" top="0.56" bottom="0.35" header="0.56" footer="0.1968503937007874"/>
  <pageSetup horizontalDpi="1200" verticalDpi="12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8" sqref="A8"/>
    </sheetView>
  </sheetViews>
  <sheetFormatPr defaultColWidth="9.140625" defaultRowHeight="23.25"/>
  <cols>
    <col min="1" max="1" width="7.57421875" style="0" customWidth="1"/>
    <col min="2" max="2" width="56.8515625" style="0" bestFit="1" customWidth="1"/>
    <col min="4" max="4" width="12.7109375" style="4" bestFit="1" customWidth="1"/>
  </cols>
  <sheetData>
    <row r="1" spans="1:4" ht="23.25">
      <c r="A1" s="747" t="s">
        <v>418</v>
      </c>
      <c r="B1" s="748"/>
      <c r="C1" s="748"/>
      <c r="D1" s="748"/>
    </row>
    <row r="2" spans="1:4" ht="23.25">
      <c r="A2" s="748" t="s">
        <v>0</v>
      </c>
      <c r="B2" s="748"/>
      <c r="C2" s="748"/>
      <c r="D2" s="748"/>
    </row>
    <row r="3" spans="1:4" ht="23.25">
      <c r="A3" s="747" t="s">
        <v>465</v>
      </c>
      <c r="B3" s="748"/>
      <c r="C3" s="748"/>
      <c r="D3" s="748"/>
    </row>
    <row r="4" spans="1:4" ht="23.25">
      <c r="A4" s="9" t="s">
        <v>466</v>
      </c>
      <c r="D4" s="4" t="e">
        <f>#REF!</f>
        <v>#REF!</v>
      </c>
    </row>
    <row r="5" ht="23.25">
      <c r="A5" s="225" t="s">
        <v>521</v>
      </c>
    </row>
    <row r="6" spans="2:4" ht="23.25">
      <c r="B6" t="s">
        <v>323</v>
      </c>
      <c r="D6" s="4" t="e">
        <f>#REF!</f>
        <v>#REF!</v>
      </c>
    </row>
    <row r="7" spans="1:4" ht="24" thickBot="1">
      <c r="A7" t="s">
        <v>522</v>
      </c>
      <c r="D7" s="224" t="e">
        <f>SUM(D4:D6)</f>
        <v>#REF!</v>
      </c>
    </row>
    <row r="8" ht="24" thickTop="1"/>
  </sheetData>
  <sheetProtection/>
  <mergeCells count="3">
    <mergeCell ref="A1:D1"/>
    <mergeCell ref="A2:D2"/>
    <mergeCell ref="A3:D3"/>
  </mergeCells>
  <printOptions/>
  <pageMargins left="0.87" right="0.75" top="0.78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C1">
      <selection activeCell="J4" sqref="J4"/>
    </sheetView>
  </sheetViews>
  <sheetFormatPr defaultColWidth="9.140625" defaultRowHeight="23.25"/>
  <cols>
    <col min="1" max="1" width="40.421875" style="0" bestFit="1" customWidth="1"/>
    <col min="2" max="2" width="13.57421875" style="4" bestFit="1" customWidth="1"/>
    <col min="3" max="3" width="13.8515625" style="4" bestFit="1" customWidth="1"/>
    <col min="4" max="5" width="14.8515625" style="4" bestFit="1" customWidth="1"/>
    <col min="6" max="6" width="13.8515625" style="238" bestFit="1" customWidth="1"/>
    <col min="7" max="7" width="40.421875" style="0" bestFit="1" customWidth="1"/>
    <col min="8" max="8" width="14.140625" style="4" customWidth="1"/>
    <col min="9" max="9" width="14.421875" style="4" customWidth="1"/>
    <col min="10" max="10" width="14.57421875" style="4" customWidth="1"/>
    <col min="11" max="11" width="14.00390625" style="4" customWidth="1"/>
    <col min="12" max="12" width="14.28125" style="238" customWidth="1"/>
  </cols>
  <sheetData>
    <row r="1" spans="1:12" ht="23.25">
      <c r="A1" s="747" t="s">
        <v>418</v>
      </c>
      <c r="B1" s="748"/>
      <c r="C1" s="748"/>
      <c r="D1" s="748"/>
      <c r="E1" s="748"/>
      <c r="F1" s="748"/>
      <c r="G1" s="747" t="s">
        <v>418</v>
      </c>
      <c r="H1" s="748"/>
      <c r="I1" s="748"/>
      <c r="J1" s="748"/>
      <c r="K1" s="748"/>
      <c r="L1" s="748"/>
    </row>
    <row r="2" spans="1:12" ht="23.25">
      <c r="A2" s="748" t="s">
        <v>240</v>
      </c>
      <c r="B2" s="748"/>
      <c r="C2" s="748"/>
      <c r="D2" s="748"/>
      <c r="E2" s="748"/>
      <c r="F2" s="748"/>
      <c r="G2" s="748" t="s">
        <v>240</v>
      </c>
      <c r="H2" s="748"/>
      <c r="I2" s="748"/>
      <c r="J2" s="748"/>
      <c r="K2" s="748"/>
      <c r="L2" s="748"/>
    </row>
    <row r="3" spans="1:12" ht="23.25">
      <c r="A3" s="747" t="s">
        <v>473</v>
      </c>
      <c r="B3" s="748"/>
      <c r="C3" s="748"/>
      <c r="D3" s="748"/>
      <c r="E3" s="748"/>
      <c r="F3" s="748"/>
      <c r="G3" s="747" t="s">
        <v>474</v>
      </c>
      <c r="H3" s="748"/>
      <c r="I3" s="748"/>
      <c r="J3" s="748"/>
      <c r="K3" s="748"/>
      <c r="L3" s="748"/>
    </row>
    <row r="4" spans="1:12" ht="23.25">
      <c r="A4" s="239" t="s">
        <v>276</v>
      </c>
      <c r="B4" s="241" t="s">
        <v>277</v>
      </c>
      <c r="C4" s="229" t="s">
        <v>241</v>
      </c>
      <c r="D4" s="229" t="s">
        <v>237</v>
      </c>
      <c r="E4" s="229" t="s">
        <v>238</v>
      </c>
      <c r="F4" s="328" t="s">
        <v>69</v>
      </c>
      <c r="G4" s="239" t="s">
        <v>276</v>
      </c>
      <c r="H4" s="241" t="s">
        <v>277</v>
      </c>
      <c r="I4" s="229" t="s">
        <v>241</v>
      </c>
      <c r="J4" s="229" t="s">
        <v>237</v>
      </c>
      <c r="K4" s="229" t="s">
        <v>238</v>
      </c>
      <c r="L4" s="328" t="s">
        <v>69</v>
      </c>
    </row>
    <row r="5" spans="1:12" ht="23.25">
      <c r="A5" s="240" t="e">
        <f>#REF!</f>
        <v>#REF!</v>
      </c>
      <c r="B5" s="4" t="e">
        <f>#REF!</f>
        <v>#REF!</v>
      </c>
      <c r="C5" s="4">
        <v>6333880.47</v>
      </c>
      <c r="D5" s="4">
        <v>28414467.35</v>
      </c>
      <c r="E5" s="4">
        <v>25497628.77</v>
      </c>
      <c r="F5" s="238">
        <f aca="true" t="shared" si="0" ref="F5:F13">C5+D5-E5</f>
        <v>9250719.05</v>
      </c>
      <c r="G5" s="240" t="e">
        <f aca="true" t="shared" si="1" ref="G5:G13">A5</f>
        <v>#REF!</v>
      </c>
      <c r="H5" s="4" t="e">
        <f aca="true" t="shared" si="2" ref="H5:H13">B5</f>
        <v>#REF!</v>
      </c>
      <c r="I5" s="4">
        <f aca="true" t="shared" si="3" ref="I5:I13">F5</f>
        <v>9250719.05</v>
      </c>
      <c r="J5" s="4">
        <f>997605.9+453352.12</f>
        <v>1450958.02</v>
      </c>
      <c r="K5" s="4">
        <v>2726663.68</v>
      </c>
      <c r="L5" s="238">
        <f aca="true" t="shared" si="4" ref="L5:L13">I5+J5-K5</f>
        <v>7975013.390000001</v>
      </c>
    </row>
    <row r="6" spans="1:12" ht="23.25">
      <c r="A6" s="240" t="e">
        <f>#REF!</f>
        <v>#REF!</v>
      </c>
      <c r="B6" s="4" t="e">
        <f>#REF!</f>
        <v>#REF!</v>
      </c>
      <c r="C6" s="4">
        <v>288036.43</v>
      </c>
      <c r="D6" s="4">
        <v>147396.95</v>
      </c>
      <c r="E6" s="4">
        <v>0</v>
      </c>
      <c r="F6" s="238">
        <f t="shared" si="0"/>
        <v>435433.38</v>
      </c>
      <c r="G6" s="240" t="e">
        <f t="shared" si="1"/>
        <v>#REF!</v>
      </c>
      <c r="H6" s="4" t="e">
        <f t="shared" si="2"/>
        <v>#REF!</v>
      </c>
      <c r="I6" s="4">
        <f t="shared" si="3"/>
        <v>435433.38</v>
      </c>
      <c r="J6" s="4">
        <v>2576</v>
      </c>
      <c r="L6" s="238">
        <f t="shared" si="4"/>
        <v>438009.38</v>
      </c>
    </row>
    <row r="7" spans="1:12" ht="23.25">
      <c r="A7" s="240" t="e">
        <f>#REF!</f>
        <v>#REF!</v>
      </c>
      <c r="B7" s="4" t="e">
        <f>#REF!</f>
        <v>#REF!</v>
      </c>
      <c r="C7" s="4">
        <v>11757.24</v>
      </c>
      <c r="D7" s="4">
        <v>35.88</v>
      </c>
      <c r="E7" s="4">
        <v>0</v>
      </c>
      <c r="F7" s="238">
        <f t="shared" si="0"/>
        <v>11793.119999999999</v>
      </c>
      <c r="G7" s="240" t="e">
        <f aca="true" t="shared" si="5" ref="G7:H11">A7</f>
        <v>#REF!</v>
      </c>
      <c r="H7" s="4" t="e">
        <f t="shared" si="5"/>
        <v>#REF!</v>
      </c>
      <c r="I7" s="4">
        <f t="shared" si="3"/>
        <v>11793.119999999999</v>
      </c>
      <c r="L7" s="238">
        <f t="shared" si="4"/>
        <v>11793.119999999999</v>
      </c>
    </row>
    <row r="8" spans="1:12" ht="23.25">
      <c r="A8" s="240" t="e">
        <f>#REF!</f>
        <v>#REF!</v>
      </c>
      <c r="B8" s="4" t="e">
        <f>#REF!</f>
        <v>#REF!</v>
      </c>
      <c r="C8" s="4">
        <v>67829.39</v>
      </c>
      <c r="D8" s="4">
        <v>72.03</v>
      </c>
      <c r="E8" s="4">
        <v>67829.39</v>
      </c>
      <c r="F8" s="238">
        <f>C8+D8-E8</f>
        <v>72.02999999999884</v>
      </c>
      <c r="G8" s="240" t="e">
        <f>A8</f>
        <v>#REF!</v>
      </c>
      <c r="H8" s="4" t="e">
        <f>B8</f>
        <v>#REF!</v>
      </c>
      <c r="I8" s="4">
        <f>F8</f>
        <v>72.02999999999884</v>
      </c>
      <c r="L8" s="238">
        <f t="shared" si="4"/>
        <v>72.02999999999884</v>
      </c>
    </row>
    <row r="9" spans="1:12" ht="23.25">
      <c r="A9" s="240" t="e">
        <f>#REF!</f>
        <v>#REF!</v>
      </c>
      <c r="B9" s="4" t="e">
        <f>#REF!</f>
        <v>#REF!</v>
      </c>
      <c r="C9" s="4">
        <v>661067.74</v>
      </c>
      <c r="D9" s="4">
        <v>702</v>
      </c>
      <c r="E9" s="4">
        <v>661067.74</v>
      </c>
      <c r="F9" s="238">
        <f>C9+D9-E9</f>
        <v>702</v>
      </c>
      <c r="G9" s="240" t="e">
        <f>A9</f>
        <v>#REF!</v>
      </c>
      <c r="H9" s="4" t="e">
        <f>B9</f>
        <v>#REF!</v>
      </c>
      <c r="I9" s="4">
        <f>F9</f>
        <v>702</v>
      </c>
      <c r="L9" s="238">
        <f t="shared" si="4"/>
        <v>702</v>
      </c>
    </row>
    <row r="10" spans="1:12" ht="23.25">
      <c r="A10" s="240" t="e">
        <f>#REF!</f>
        <v>#REF!</v>
      </c>
      <c r="B10" s="4" t="e">
        <f>#REF!</f>
        <v>#REF!</v>
      </c>
      <c r="D10" s="4">
        <v>17558125.55</v>
      </c>
      <c r="E10" s="4">
        <v>17558125.55</v>
      </c>
      <c r="F10" s="238">
        <f t="shared" si="0"/>
        <v>0</v>
      </c>
      <c r="G10" s="240" t="e">
        <f t="shared" si="5"/>
        <v>#REF!</v>
      </c>
      <c r="H10" s="4" t="e">
        <f t="shared" si="5"/>
        <v>#REF!</v>
      </c>
      <c r="I10" s="4">
        <f t="shared" si="3"/>
        <v>0</v>
      </c>
      <c r="J10" s="4">
        <v>962543.56</v>
      </c>
      <c r="K10" s="4">
        <v>962543.56</v>
      </c>
      <c r="L10" s="238">
        <f t="shared" si="4"/>
        <v>0</v>
      </c>
    </row>
    <row r="11" spans="1:12" ht="23.25">
      <c r="A11" s="240" t="e">
        <f>#REF!</f>
        <v>#REF!</v>
      </c>
      <c r="B11" s="4" t="e">
        <f>#REF!</f>
        <v>#REF!</v>
      </c>
      <c r="C11" s="4">
        <v>1400000</v>
      </c>
      <c r="D11" s="4">
        <v>0</v>
      </c>
      <c r="E11" s="4">
        <v>0</v>
      </c>
      <c r="F11" s="238">
        <f>C11+D11-E11</f>
        <v>1400000</v>
      </c>
      <c r="G11" s="240" t="e">
        <f t="shared" si="5"/>
        <v>#REF!</v>
      </c>
      <c r="H11" s="4" t="e">
        <f t="shared" si="5"/>
        <v>#REF!</v>
      </c>
      <c r="I11" s="4">
        <f t="shared" si="3"/>
        <v>1400000</v>
      </c>
      <c r="L11" s="238">
        <f t="shared" si="4"/>
        <v>1400000</v>
      </c>
    </row>
    <row r="12" spans="1:12" ht="23.25">
      <c r="A12" s="240" t="e">
        <f>#REF!</f>
        <v>#REF!</v>
      </c>
      <c r="B12" s="4" t="e">
        <f>#REF!</f>
        <v>#REF!</v>
      </c>
      <c r="C12" s="4">
        <v>244365.04</v>
      </c>
      <c r="D12" s="4">
        <v>917.23</v>
      </c>
      <c r="F12" s="238">
        <f>C12+D12-E12</f>
        <v>245282.27000000002</v>
      </c>
      <c r="G12" s="240" t="e">
        <f t="shared" si="1"/>
        <v>#REF!</v>
      </c>
      <c r="H12" s="4" t="e">
        <f t="shared" si="2"/>
        <v>#REF!</v>
      </c>
      <c r="I12" s="4">
        <f t="shared" si="3"/>
        <v>245282.27000000002</v>
      </c>
      <c r="L12" s="238">
        <f t="shared" si="4"/>
        <v>245282.27000000002</v>
      </c>
    </row>
    <row r="13" spans="1:12" ht="23.25">
      <c r="A13" s="240" t="e">
        <f>#REF!</f>
        <v>#REF!</v>
      </c>
      <c r="B13" s="4" t="e">
        <f>#REF!</f>
        <v>#REF!</v>
      </c>
      <c r="D13" s="4">
        <v>7083054.22</v>
      </c>
      <c r="E13" s="4">
        <v>6553290.9</v>
      </c>
      <c r="F13" s="510">
        <f t="shared" si="0"/>
        <v>529763.3199999994</v>
      </c>
      <c r="G13" s="240" t="e">
        <f t="shared" si="1"/>
        <v>#REF!</v>
      </c>
      <c r="H13" s="4" t="e">
        <f t="shared" si="2"/>
        <v>#REF!</v>
      </c>
      <c r="I13" s="4">
        <f t="shared" si="3"/>
        <v>529763.3199999994</v>
      </c>
      <c r="J13" s="4">
        <f>2924432.63-529763.32</f>
        <v>2394669.31</v>
      </c>
      <c r="K13" s="4">
        <v>529763.32</v>
      </c>
      <c r="L13" s="238">
        <f t="shared" si="4"/>
        <v>2394669.3099999996</v>
      </c>
    </row>
    <row r="14" spans="3:12" ht="24" thickBot="1">
      <c r="C14" s="224">
        <f>SUM(C5:C12)</f>
        <v>9006936.309999999</v>
      </c>
      <c r="D14" s="224">
        <f>SUM(D5:D13)</f>
        <v>53204771.21</v>
      </c>
      <c r="E14" s="224">
        <f>SUM(E5:E13)</f>
        <v>50337942.35</v>
      </c>
      <c r="F14" s="329">
        <f>SUM(F5:F13)</f>
        <v>11873765.169999998</v>
      </c>
      <c r="I14" s="224">
        <f>SUM(I5:I13)</f>
        <v>11873765.169999998</v>
      </c>
      <c r="J14" s="224">
        <f>SUM(J5:J12)</f>
        <v>2416077.58</v>
      </c>
      <c r="K14" s="224">
        <f>SUM(K5:K13)</f>
        <v>4218970.5600000005</v>
      </c>
      <c r="L14" s="329">
        <f>SUM(L5:L13)</f>
        <v>12465541.5</v>
      </c>
    </row>
    <row r="15" ht="24" thickTop="1"/>
  </sheetData>
  <sheetProtection/>
  <mergeCells count="6">
    <mergeCell ref="G1:L1"/>
    <mergeCell ref="A2:F2"/>
    <mergeCell ref="G2:L2"/>
    <mergeCell ref="A3:F3"/>
    <mergeCell ref="G3:L3"/>
    <mergeCell ref="A1:F1"/>
  </mergeCells>
  <printOptions/>
  <pageMargins left="0.4724409448818898" right="0.2362204724409449" top="0.6692913385826772" bottom="0.98425196850393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F12" sqref="F12"/>
    </sheetView>
  </sheetViews>
  <sheetFormatPr defaultColWidth="9.140625" defaultRowHeight="23.25"/>
  <cols>
    <col min="1" max="1" width="5.7109375" style="0" customWidth="1"/>
    <col min="2" max="2" width="70.57421875" style="0" customWidth="1"/>
    <col min="3" max="3" width="17.00390625" style="0" customWidth="1"/>
  </cols>
  <sheetData>
    <row r="1" spans="1:3" ht="23.25">
      <c r="A1" s="679" t="s">
        <v>418</v>
      </c>
      <c r="B1" s="679"/>
      <c r="C1" s="679"/>
    </row>
    <row r="2" spans="1:3" ht="23.25">
      <c r="A2" s="679" t="s">
        <v>236</v>
      </c>
      <c r="B2" s="679"/>
      <c r="C2" s="679"/>
    </row>
    <row r="3" spans="1:3" ht="23.25">
      <c r="A3" s="679" t="s">
        <v>420</v>
      </c>
      <c r="B3" s="679"/>
      <c r="C3" s="679"/>
    </row>
    <row r="4" spans="1:3" ht="33" customHeight="1">
      <c r="A4" s="1"/>
      <c r="B4" s="1"/>
      <c r="C4" s="1"/>
    </row>
    <row r="5" spans="1:3" ht="23.25">
      <c r="A5" s="9" t="s">
        <v>421</v>
      </c>
      <c r="C5" s="4">
        <v>0</v>
      </c>
    </row>
    <row r="6" spans="1:3" ht="23.25">
      <c r="A6" s="226" t="s">
        <v>136</v>
      </c>
      <c r="B6" s="9" t="s">
        <v>422</v>
      </c>
      <c r="C6" s="227">
        <v>24154</v>
      </c>
    </row>
    <row r="7" spans="1:3" ht="23.25">
      <c r="A7" t="s">
        <v>4</v>
      </c>
      <c r="C7" s="4">
        <f>SUM(C5:C6)</f>
        <v>24154</v>
      </c>
    </row>
    <row r="8" spans="1:3" ht="23.25">
      <c r="A8" s="226" t="s">
        <v>55</v>
      </c>
      <c r="B8" s="9" t="s">
        <v>423</v>
      </c>
      <c r="C8" s="4">
        <v>24154</v>
      </c>
    </row>
    <row r="9" spans="1:3" ht="23.25">
      <c r="A9" s="226"/>
      <c r="C9" s="4"/>
    </row>
    <row r="10" spans="1:3" ht="24" thickBot="1">
      <c r="A10" s="9" t="s">
        <v>424</v>
      </c>
      <c r="C10" s="224">
        <f>C7-C8</f>
        <v>0</v>
      </c>
    </row>
    <row r="11" ht="24" thickTop="1">
      <c r="C11" s="4"/>
    </row>
    <row r="12" ht="23.25">
      <c r="C12" s="4"/>
    </row>
    <row r="13" ht="23.25">
      <c r="C13" s="4"/>
    </row>
    <row r="14" ht="23.25">
      <c r="C14" s="4"/>
    </row>
    <row r="15" ht="23.25">
      <c r="C15" s="4"/>
    </row>
    <row r="16" ht="23.25">
      <c r="C16" s="4"/>
    </row>
    <row r="17" ht="23.25">
      <c r="C17" s="4"/>
    </row>
    <row r="18" spans="2:3" ht="23.25">
      <c r="B18" s="228" t="s">
        <v>239</v>
      </c>
      <c r="C18" s="4" t="s">
        <v>42</v>
      </c>
    </row>
    <row r="19" ht="23.25">
      <c r="C19" s="4"/>
    </row>
    <row r="20" spans="2:3" ht="23.25">
      <c r="B20" s="228" t="s">
        <v>239</v>
      </c>
      <c r="C20" s="4" t="s">
        <v>78</v>
      </c>
    </row>
    <row r="21" ht="23.25">
      <c r="C21" s="4"/>
    </row>
  </sheetData>
  <sheetProtection/>
  <mergeCells count="3">
    <mergeCell ref="A1:C1"/>
    <mergeCell ref="A2:C2"/>
    <mergeCell ref="A3:C3"/>
  </mergeCells>
  <printOptions/>
  <pageMargins left="0.9" right="0.55" top="0.54" bottom="0.27" header="0.27" footer="0.18"/>
  <pageSetup horizontalDpi="300" verticalDpi="3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E34" sqref="E32:G34"/>
    </sheetView>
  </sheetViews>
  <sheetFormatPr defaultColWidth="9.140625" defaultRowHeight="23.25"/>
  <cols>
    <col min="1" max="1" width="9.140625" style="61" customWidth="1"/>
    <col min="2" max="2" width="51.140625" style="67" customWidth="1"/>
    <col min="3" max="3" width="11.00390625" style="49" customWidth="1"/>
    <col min="4" max="4" width="14.421875" style="49" customWidth="1"/>
    <col min="5" max="16384" width="9.140625" style="67" customWidth="1"/>
  </cols>
  <sheetData>
    <row r="1" spans="1:4" ht="23.25">
      <c r="A1" s="650" t="s">
        <v>366</v>
      </c>
      <c r="B1" s="650"/>
      <c r="C1" s="650"/>
      <c r="D1" s="650"/>
    </row>
    <row r="2" spans="1:4" ht="23.25">
      <c r="A2" s="650" t="s">
        <v>326</v>
      </c>
      <c r="B2" s="650"/>
      <c r="C2" s="650"/>
      <c r="D2" s="650"/>
    </row>
    <row r="3" spans="1:4" ht="23.25">
      <c r="A3" s="650" t="s">
        <v>322</v>
      </c>
      <c r="B3" s="650"/>
      <c r="C3" s="650"/>
      <c r="D3" s="650"/>
    </row>
    <row r="4" spans="1:4" ht="23.25">
      <c r="A4" s="298" t="s">
        <v>325</v>
      </c>
      <c r="B4" s="61"/>
      <c r="C4" s="78"/>
      <c r="D4" s="61"/>
    </row>
    <row r="5" spans="1:4" ht="23.25">
      <c r="A5" s="61">
        <v>1</v>
      </c>
      <c r="B5" s="67" t="s">
        <v>241</v>
      </c>
      <c r="D5" s="49">
        <v>903332</v>
      </c>
    </row>
    <row r="6" spans="1:4" ht="23.25">
      <c r="A6" s="61">
        <v>2</v>
      </c>
      <c r="B6" s="67" t="s">
        <v>329</v>
      </c>
      <c r="C6" s="67"/>
      <c r="D6" s="49">
        <f>369.88+86.95</f>
        <v>456.83</v>
      </c>
    </row>
    <row r="7" ht="24" thickBot="1">
      <c r="D7" s="299">
        <f>SUM(D5:D6)</f>
        <v>903788.83</v>
      </c>
    </row>
    <row r="8" ht="24" thickTop="1"/>
    <row r="9" ht="23.25">
      <c r="A9" s="298" t="s">
        <v>327</v>
      </c>
    </row>
    <row r="10" spans="1:4" ht="23.25">
      <c r="A10" s="61">
        <v>1</v>
      </c>
      <c r="B10" s="67" t="s">
        <v>328</v>
      </c>
      <c r="D10" s="49">
        <v>785000</v>
      </c>
    </row>
    <row r="11" spans="1:4" ht="23.25">
      <c r="A11" s="61">
        <v>2</v>
      </c>
      <c r="B11" s="67" t="s">
        <v>381</v>
      </c>
      <c r="D11" s="49">
        <f>เงินฝากธนาคาร!F6</f>
        <v>435433.38</v>
      </c>
    </row>
    <row r="12" ht="24" thickBot="1">
      <c r="D12" s="299">
        <f>SUM(D10:D11)</f>
        <v>1220433.38</v>
      </c>
    </row>
    <row r="13" ht="24" thickTop="1"/>
    <row r="14" spans="1:4" ht="24" thickBot="1">
      <c r="A14" s="61" t="s">
        <v>382</v>
      </c>
      <c r="B14" s="67" t="s">
        <v>381</v>
      </c>
      <c r="D14" s="85">
        <f>SUM(D7-D12)</f>
        <v>-316644.54999999993</v>
      </c>
    </row>
    <row r="15" ht="24" thickTop="1">
      <c r="B15" s="67" t="s">
        <v>383</v>
      </c>
    </row>
    <row r="30" spans="1:4" ht="23.25">
      <c r="A30" s="650" t="s">
        <v>366</v>
      </c>
      <c r="B30" s="650"/>
      <c r="C30" s="650"/>
      <c r="D30" s="650"/>
    </row>
    <row r="31" spans="1:4" ht="23.25">
      <c r="A31" s="650" t="s">
        <v>326</v>
      </c>
      <c r="B31" s="650"/>
      <c r="C31" s="650"/>
      <c r="D31" s="650"/>
    </row>
    <row r="32" spans="1:4" ht="23.25">
      <c r="A32" s="650" t="s">
        <v>384</v>
      </c>
      <c r="B32" s="650"/>
      <c r="C32" s="650"/>
      <c r="D32" s="650"/>
    </row>
    <row r="34" spans="1:4" ht="23.25">
      <c r="A34" s="298" t="s">
        <v>325</v>
      </c>
      <c r="B34" s="61"/>
      <c r="C34" s="78"/>
      <c r="D34" s="61"/>
    </row>
    <row r="35" spans="1:4" ht="23.25">
      <c r="A35" s="61">
        <v>1</v>
      </c>
      <c r="B35" s="67" t="s">
        <v>241</v>
      </c>
      <c r="D35" s="49">
        <f>D7</f>
        <v>903788.83</v>
      </c>
    </row>
    <row r="36" ht="24" thickBot="1">
      <c r="D36" s="299">
        <f>SUM(D35:D35)</f>
        <v>903788.83</v>
      </c>
    </row>
    <row r="37" ht="24" thickTop="1">
      <c r="D37" s="66"/>
    </row>
    <row r="38" ht="23.25">
      <c r="D38" s="66"/>
    </row>
    <row r="39" ht="23.25">
      <c r="A39" s="298" t="s">
        <v>327</v>
      </c>
    </row>
    <row r="40" spans="1:4" ht="23.25">
      <c r="A40" s="61">
        <v>1</v>
      </c>
      <c r="B40" s="67" t="s">
        <v>328</v>
      </c>
      <c r="D40" s="49">
        <f>D10</f>
        <v>785000</v>
      </c>
    </row>
    <row r="41" spans="1:4" ht="23.25">
      <c r="A41" s="61">
        <v>2</v>
      </c>
      <c r="B41" s="67" t="s">
        <v>381</v>
      </c>
      <c r="D41" s="49">
        <f>เงินฝากธนาคาร!L6</f>
        <v>438009.38</v>
      </c>
    </row>
    <row r="42" ht="24" thickBot="1">
      <c r="D42" s="299">
        <f>SUM(D40:D41)</f>
        <v>1223009.38</v>
      </c>
    </row>
    <row r="43" ht="24" thickTop="1"/>
    <row r="44" spans="1:4" ht="24" thickBot="1">
      <c r="A44" s="61" t="s">
        <v>382</v>
      </c>
      <c r="B44" s="67" t="s">
        <v>381</v>
      </c>
      <c r="D44" s="85">
        <f>D42-D36</f>
        <v>319220.54999999993</v>
      </c>
    </row>
    <row r="45" ht="24" thickTop="1">
      <c r="B45" s="67" t="s">
        <v>385</v>
      </c>
    </row>
  </sheetData>
  <sheetProtection/>
  <mergeCells count="6">
    <mergeCell ref="A31:D31"/>
    <mergeCell ref="A32:D32"/>
    <mergeCell ref="A1:D1"/>
    <mergeCell ref="A2:D2"/>
    <mergeCell ref="A3:D3"/>
    <mergeCell ref="A30:D30"/>
  </mergeCells>
  <printOptions/>
  <pageMargins left="0.85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G11" sqref="G11"/>
    </sheetView>
  </sheetViews>
  <sheetFormatPr defaultColWidth="9.140625" defaultRowHeight="23.25"/>
  <cols>
    <col min="1" max="1" width="9.140625" style="61" customWidth="1"/>
    <col min="2" max="2" width="51.140625" style="67" customWidth="1"/>
    <col min="3" max="3" width="11.00390625" style="49" customWidth="1"/>
    <col min="4" max="4" width="14.421875" style="49" customWidth="1"/>
    <col min="5" max="16384" width="9.140625" style="67" customWidth="1"/>
  </cols>
  <sheetData>
    <row r="1" spans="1:4" ht="23.25">
      <c r="A1" s="650" t="s">
        <v>366</v>
      </c>
      <c r="B1" s="650"/>
      <c r="C1" s="650"/>
      <c r="D1" s="650"/>
    </row>
    <row r="2" spans="1:4" ht="23.25">
      <c r="A2" s="650" t="s">
        <v>386</v>
      </c>
      <c r="B2" s="650"/>
      <c r="C2" s="650"/>
      <c r="D2" s="650"/>
    </row>
    <row r="3" spans="1:4" ht="23.25">
      <c r="A3" s="650" t="s">
        <v>322</v>
      </c>
      <c r="B3" s="650"/>
      <c r="C3" s="650"/>
      <c r="D3" s="650"/>
    </row>
    <row r="4" spans="1:4" ht="23.25">
      <c r="A4" s="298" t="s">
        <v>365</v>
      </c>
      <c r="B4" s="61"/>
      <c r="C4" s="78"/>
      <c r="D4" s="61"/>
    </row>
    <row r="5" spans="1:4" ht="23.25">
      <c r="A5" s="61">
        <v>1</v>
      </c>
      <c r="B5" s="67" t="s">
        <v>387</v>
      </c>
      <c r="D5" s="49">
        <v>138460</v>
      </c>
    </row>
    <row r="6" ht="24" thickBot="1">
      <c r="D6" s="299">
        <f>SUM(D5:D5)</f>
        <v>138460</v>
      </c>
    </row>
    <row r="7" ht="24" thickTop="1"/>
    <row r="8" ht="23.25">
      <c r="A8" s="298" t="s">
        <v>388</v>
      </c>
    </row>
    <row r="9" spans="1:4" ht="23.25">
      <c r="A9" s="61">
        <v>1</v>
      </c>
      <c r="B9" s="67" t="s">
        <v>328</v>
      </c>
      <c r="D9" s="49">
        <v>41076</v>
      </c>
    </row>
    <row r="10" spans="1:4" ht="23.25">
      <c r="A10" s="61">
        <v>2</v>
      </c>
      <c r="B10" s="67" t="s">
        <v>389</v>
      </c>
      <c r="D10" s="49">
        <v>97384</v>
      </c>
    </row>
    <row r="11" ht="24" thickBot="1">
      <c r="D11" s="299">
        <f>SUM(D9:D10)</f>
        <v>138460</v>
      </c>
    </row>
    <row r="12" ht="24" thickTop="1"/>
    <row r="13" spans="1:4" ht="23.25">
      <c r="A13" s="61" t="s">
        <v>35</v>
      </c>
      <c r="B13" s="67" t="s">
        <v>390</v>
      </c>
      <c r="D13" s="66"/>
    </row>
    <row r="14" ht="23.25">
      <c r="B14" s="67" t="s">
        <v>391</v>
      </c>
    </row>
    <row r="33" spans="1:4" ht="23.25">
      <c r="A33" s="650" t="s">
        <v>366</v>
      </c>
      <c r="B33" s="650"/>
      <c r="C33" s="650"/>
      <c r="D33" s="650"/>
    </row>
    <row r="34" spans="1:4" ht="23.25">
      <c r="A34" s="650" t="s">
        <v>386</v>
      </c>
      <c r="B34" s="650"/>
      <c r="C34" s="650"/>
      <c r="D34" s="650"/>
    </row>
    <row r="35" spans="1:4" ht="23.25">
      <c r="A35" s="650" t="s">
        <v>417</v>
      </c>
      <c r="B35" s="650"/>
      <c r="C35" s="650"/>
      <c r="D35" s="650"/>
    </row>
    <row r="36" spans="1:4" ht="23.25">
      <c r="A36" s="298" t="s">
        <v>365</v>
      </c>
      <c r="B36" s="61"/>
      <c r="C36" s="78"/>
      <c r="D36" s="61"/>
    </row>
    <row r="37" spans="1:4" ht="23.25">
      <c r="A37" s="61">
        <v>1</v>
      </c>
      <c r="B37" s="67" t="s">
        <v>387</v>
      </c>
      <c r="D37" s="49">
        <v>138460</v>
      </c>
    </row>
    <row r="38" ht="24" thickBot="1">
      <c r="D38" s="299">
        <f>SUM(D37:D37)</f>
        <v>138460</v>
      </c>
    </row>
    <row r="39" ht="24" thickTop="1"/>
    <row r="40" ht="23.25">
      <c r="A40" s="298" t="s">
        <v>388</v>
      </c>
    </row>
    <row r="41" spans="1:4" ht="23.25">
      <c r="A41" s="61">
        <v>1</v>
      </c>
      <c r="B41" s="67" t="s">
        <v>328</v>
      </c>
      <c r="D41" s="49">
        <v>41076</v>
      </c>
    </row>
    <row r="42" spans="1:4" ht="23.25">
      <c r="A42" s="61">
        <v>2</v>
      </c>
      <c r="B42" s="67" t="s">
        <v>389</v>
      </c>
      <c r="D42" s="49">
        <v>97384</v>
      </c>
    </row>
    <row r="43" ht="24" thickBot="1">
      <c r="D43" s="299">
        <f>SUM(D41:D42)</f>
        <v>138460</v>
      </c>
    </row>
    <row r="44" ht="24" thickTop="1"/>
    <row r="45" spans="1:4" ht="23.25">
      <c r="A45" s="61" t="s">
        <v>35</v>
      </c>
      <c r="B45" s="67" t="s">
        <v>390</v>
      </c>
      <c r="D45" s="66"/>
    </row>
    <row r="46" ht="23.25">
      <c r="B46" s="67" t="s">
        <v>391</v>
      </c>
    </row>
  </sheetData>
  <sheetProtection/>
  <mergeCells count="6">
    <mergeCell ref="A34:D34"/>
    <mergeCell ref="A35:D35"/>
    <mergeCell ref="A1:D1"/>
    <mergeCell ref="A2:D2"/>
    <mergeCell ref="A3:D3"/>
    <mergeCell ref="A33:D33"/>
  </mergeCells>
  <printOptions/>
  <pageMargins left="0.85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14" sqref="G14"/>
    </sheetView>
  </sheetViews>
  <sheetFormatPr defaultColWidth="9.140625" defaultRowHeight="23.25"/>
  <cols>
    <col min="1" max="1" width="9.140625" style="61" customWidth="1"/>
    <col min="2" max="2" width="12.7109375" style="67" customWidth="1"/>
    <col min="3" max="3" width="61.00390625" style="67" customWidth="1"/>
    <col min="4" max="4" width="13.140625" style="49" customWidth="1"/>
    <col min="5" max="5" width="13.421875" style="67" customWidth="1"/>
    <col min="6" max="16384" width="9.140625" style="67" customWidth="1"/>
  </cols>
  <sheetData>
    <row r="1" ht="23.25">
      <c r="D1" s="49" t="s">
        <v>331</v>
      </c>
    </row>
    <row r="2" spans="1:10" ht="23.25">
      <c r="A2" s="653" t="s">
        <v>330</v>
      </c>
      <c r="B2" s="653"/>
      <c r="C2" s="653"/>
      <c r="D2" s="653"/>
      <c r="E2" s="68"/>
      <c r="F2" s="68"/>
      <c r="G2" s="68"/>
      <c r="H2" s="68"/>
      <c r="I2" s="68"/>
      <c r="J2" s="68"/>
    </row>
    <row r="3" spans="1:4" ht="23.25">
      <c r="A3" s="749" t="s">
        <v>332</v>
      </c>
      <c r="B3" s="749"/>
      <c r="C3" s="749"/>
      <c r="D3" s="749"/>
    </row>
    <row r="4" spans="1:4" ht="23.25">
      <c r="A4" s="750" t="s">
        <v>334</v>
      </c>
      <c r="B4" s="750"/>
      <c r="C4" s="750"/>
      <c r="D4" s="750"/>
    </row>
    <row r="5" spans="1:4" ht="23.25">
      <c r="A5" s="51" t="s">
        <v>36</v>
      </c>
      <c r="B5" s="51" t="s">
        <v>333</v>
      </c>
      <c r="C5" s="51" t="s">
        <v>5</v>
      </c>
      <c r="D5" s="69" t="s">
        <v>28</v>
      </c>
    </row>
    <row r="6" spans="1:4" ht="23.25">
      <c r="A6" s="70">
        <v>1</v>
      </c>
      <c r="B6" s="70" t="s">
        <v>335</v>
      </c>
      <c r="C6" s="71" t="s">
        <v>336</v>
      </c>
      <c r="D6" s="72">
        <v>640</v>
      </c>
    </row>
    <row r="7" spans="1:4" ht="23.25">
      <c r="A7" s="70"/>
      <c r="B7" s="71"/>
      <c r="C7" s="71" t="s">
        <v>337</v>
      </c>
      <c r="D7" s="72"/>
    </row>
    <row r="8" spans="1:4" ht="23.25">
      <c r="A8" s="70"/>
      <c r="B8" s="71"/>
      <c r="C8" s="71"/>
      <c r="D8" s="72"/>
    </row>
    <row r="9" spans="1:4" ht="23.25">
      <c r="A9" s="70">
        <v>2</v>
      </c>
      <c r="B9" s="70" t="s">
        <v>338</v>
      </c>
      <c r="C9" s="71" t="s">
        <v>339</v>
      </c>
      <c r="D9" s="72">
        <v>105</v>
      </c>
    </row>
    <row r="10" spans="1:4" ht="23.25">
      <c r="A10" s="70"/>
      <c r="B10" s="71"/>
      <c r="C10" s="71" t="s">
        <v>340</v>
      </c>
      <c r="D10" s="72"/>
    </row>
    <row r="11" spans="1:4" ht="23.25">
      <c r="A11" s="70"/>
      <c r="B11" s="71"/>
      <c r="C11" s="71"/>
      <c r="D11" s="72"/>
    </row>
    <row r="12" spans="1:4" ht="23.25">
      <c r="A12" s="70">
        <v>3</v>
      </c>
      <c r="B12" s="300" t="s">
        <v>341</v>
      </c>
      <c r="C12" s="71" t="s">
        <v>342</v>
      </c>
      <c r="D12" s="72">
        <v>325.7</v>
      </c>
    </row>
    <row r="13" spans="1:4" ht="23.25">
      <c r="A13" s="70"/>
      <c r="B13" s="71"/>
      <c r="C13" s="71" t="s">
        <v>343</v>
      </c>
      <c r="D13" s="72"/>
    </row>
    <row r="14" spans="1:4" ht="23.25">
      <c r="A14" s="70"/>
      <c r="B14" s="71"/>
      <c r="C14" s="71"/>
      <c r="D14" s="72"/>
    </row>
    <row r="15" spans="1:4" ht="23.25">
      <c r="A15" s="70">
        <v>4</v>
      </c>
      <c r="B15" s="300" t="s">
        <v>346</v>
      </c>
      <c r="C15" s="71" t="s">
        <v>344</v>
      </c>
      <c r="D15" s="72">
        <v>120</v>
      </c>
    </row>
    <row r="16" spans="1:4" ht="23.25">
      <c r="A16" s="70"/>
      <c r="B16" s="71"/>
      <c r="C16" s="71" t="s">
        <v>345</v>
      </c>
      <c r="D16" s="72"/>
    </row>
    <row r="17" spans="1:4" ht="23.25">
      <c r="A17" s="70"/>
      <c r="B17" s="71"/>
      <c r="C17" s="71"/>
      <c r="D17" s="72"/>
    </row>
    <row r="18" spans="1:4" ht="23.25">
      <c r="A18" s="70"/>
      <c r="B18" s="71"/>
      <c r="C18" s="71" t="s">
        <v>347</v>
      </c>
      <c r="D18" s="72"/>
    </row>
    <row r="19" spans="1:4" ht="23.25">
      <c r="A19" s="70"/>
      <c r="B19" s="71"/>
      <c r="C19" s="71" t="s">
        <v>348</v>
      </c>
      <c r="D19" s="72"/>
    </row>
    <row r="20" spans="1:4" ht="23.25">
      <c r="A20" s="70"/>
      <c r="B20" s="71"/>
      <c r="C20" s="71" t="s">
        <v>349</v>
      </c>
      <c r="D20" s="72"/>
    </row>
    <row r="21" spans="1:4" ht="23.25">
      <c r="A21" s="70"/>
      <c r="B21" s="71"/>
      <c r="C21" s="71"/>
      <c r="D21" s="72"/>
    </row>
    <row r="22" spans="1:4" ht="24" thickBot="1">
      <c r="A22" s="70"/>
      <c r="B22" s="71"/>
      <c r="C22" s="71"/>
      <c r="D22" s="73">
        <f>SUM(D6:D21)</f>
        <v>1190.7</v>
      </c>
    </row>
    <row r="23" ht="24" thickTop="1"/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7">
      <selection activeCell="B15" sqref="B15"/>
    </sheetView>
  </sheetViews>
  <sheetFormatPr defaultColWidth="9.140625" defaultRowHeight="23.25"/>
  <cols>
    <col min="1" max="1" width="33.00390625" style="106" customWidth="1"/>
    <col min="2" max="2" width="26.421875" style="106" customWidth="1"/>
    <col min="3" max="3" width="12.28125" style="148" customWidth="1"/>
    <col min="4" max="4" width="23.28125" style="521" customWidth="1"/>
    <col min="5" max="5" width="5.00390625" style="148" customWidth="1"/>
    <col min="6" max="16384" width="9.140625" style="106" customWidth="1"/>
  </cols>
  <sheetData>
    <row r="1" spans="4:5" ht="23.25">
      <c r="D1" s="751" t="s">
        <v>475</v>
      </c>
      <c r="E1" s="751"/>
    </row>
    <row r="2" spans="1:5" ht="23.25">
      <c r="A2" s="67" t="s">
        <v>476</v>
      </c>
      <c r="B2" s="179"/>
      <c r="C2" s="752" t="s">
        <v>477</v>
      </c>
      <c r="D2" s="752"/>
      <c r="E2" s="752"/>
    </row>
    <row r="3" spans="1:5" ht="23.25">
      <c r="A3" s="67"/>
      <c r="B3" s="67" t="s">
        <v>478</v>
      </c>
      <c r="C3" s="61" t="s">
        <v>479</v>
      </c>
      <c r="D3" s="520"/>
      <c r="E3" s="61"/>
    </row>
    <row r="4" spans="1:5" ht="23.25">
      <c r="A4" s="67"/>
      <c r="B4" s="67"/>
      <c r="C4" s="61"/>
      <c r="D4" s="520"/>
      <c r="E4" s="61"/>
    </row>
    <row r="5" spans="1:5" ht="23.25">
      <c r="A5" s="67" t="s">
        <v>480</v>
      </c>
      <c r="B5" s="67"/>
      <c r="C5" s="61"/>
      <c r="D5" s="520"/>
      <c r="E5" s="61"/>
    </row>
    <row r="6" spans="1:2" ht="23.25">
      <c r="A6" s="67" t="s">
        <v>481</v>
      </c>
      <c r="B6" s="67"/>
    </row>
    <row r="7" ht="23.25">
      <c r="A7" s="82" t="s">
        <v>482</v>
      </c>
    </row>
    <row r="8" spans="1:2" ht="23.25">
      <c r="A8" s="67" t="s">
        <v>483</v>
      </c>
      <c r="B8" s="522"/>
    </row>
    <row r="9" ht="23.25">
      <c r="A9" s="67" t="s">
        <v>484</v>
      </c>
    </row>
    <row r="10" spans="1:5" ht="21" customHeight="1">
      <c r="A10" s="753" t="s">
        <v>485</v>
      </c>
      <c r="B10" s="753" t="s">
        <v>486</v>
      </c>
      <c r="C10" s="753"/>
      <c r="D10" s="753"/>
      <c r="E10" s="753"/>
    </row>
    <row r="11" spans="1:5" ht="21" customHeight="1">
      <c r="A11" s="753"/>
      <c r="B11" s="753"/>
      <c r="C11" s="753"/>
      <c r="D11" s="753"/>
      <c r="E11" s="753"/>
    </row>
    <row r="12" spans="1:5" ht="23.25">
      <c r="A12" s="67" t="s">
        <v>487</v>
      </c>
      <c r="B12" s="67"/>
      <c r="C12" s="61"/>
      <c r="D12" s="520"/>
      <c r="E12" s="61"/>
    </row>
    <row r="13" ht="23.25">
      <c r="A13" s="67" t="s">
        <v>488</v>
      </c>
    </row>
    <row r="14" spans="3:5" ht="23.25">
      <c r="C14" s="650" t="s">
        <v>489</v>
      </c>
      <c r="D14" s="650"/>
      <c r="E14" s="650"/>
    </row>
    <row r="15" spans="3:5" ht="30" customHeight="1">
      <c r="C15" s="675" t="s">
        <v>490</v>
      </c>
      <c r="D15" s="675"/>
      <c r="E15" s="675"/>
    </row>
    <row r="16" spans="3:5" ht="30" customHeight="1">
      <c r="C16" s="650" t="s">
        <v>491</v>
      </c>
      <c r="D16" s="650"/>
      <c r="E16" s="650"/>
    </row>
    <row r="17" spans="3:5" ht="23.25">
      <c r="C17" s="658" t="s">
        <v>492</v>
      </c>
      <c r="D17" s="658"/>
      <c r="E17" s="658"/>
    </row>
    <row r="18" spans="1:5" ht="21" customHeight="1">
      <c r="A18" s="754" t="s">
        <v>493</v>
      </c>
      <c r="B18" s="659" t="s">
        <v>494</v>
      </c>
      <c r="C18" s="659" t="s">
        <v>495</v>
      </c>
      <c r="D18" s="660"/>
      <c r="E18" s="756"/>
    </row>
    <row r="19" spans="1:5" ht="21" customHeight="1">
      <c r="A19" s="755"/>
      <c r="B19" s="661"/>
      <c r="C19" s="661"/>
      <c r="D19" s="662"/>
      <c r="E19" s="757"/>
    </row>
    <row r="20" spans="1:5" ht="21">
      <c r="A20" s="758" t="s">
        <v>496</v>
      </c>
      <c r="B20" s="677" t="s">
        <v>497</v>
      </c>
      <c r="C20" s="760" t="s">
        <v>28</v>
      </c>
      <c r="D20" s="761"/>
      <c r="E20" s="762"/>
    </row>
    <row r="21" spans="1:5" ht="21">
      <c r="A21" s="759"/>
      <c r="B21" s="678"/>
      <c r="C21" s="523" t="s">
        <v>498</v>
      </c>
      <c r="D21" s="760" t="s">
        <v>499</v>
      </c>
      <c r="E21" s="762"/>
    </row>
    <row r="22" spans="1:5" ht="21">
      <c r="A22" s="524" t="s">
        <v>500</v>
      </c>
      <c r="B22" s="174" t="s">
        <v>501</v>
      </c>
      <c r="C22" s="525">
        <v>1</v>
      </c>
      <c r="D22" s="526">
        <v>3420</v>
      </c>
      <c r="E22" s="525" t="s">
        <v>502</v>
      </c>
    </row>
    <row r="23" spans="1:5" ht="21">
      <c r="A23" s="524" t="s">
        <v>503</v>
      </c>
      <c r="B23" s="174" t="s">
        <v>504</v>
      </c>
      <c r="C23" s="527"/>
      <c r="D23" s="528"/>
      <c r="E23" s="527"/>
    </row>
    <row r="24" spans="1:5" ht="21">
      <c r="A24" s="524" t="s">
        <v>505</v>
      </c>
      <c r="B24" s="174" t="s">
        <v>506</v>
      </c>
      <c r="C24" s="527">
        <v>600</v>
      </c>
      <c r="D24" s="528">
        <v>22250</v>
      </c>
      <c r="E24" s="527" t="s">
        <v>502</v>
      </c>
    </row>
    <row r="25" spans="1:5" ht="21">
      <c r="A25" s="524" t="s">
        <v>318</v>
      </c>
      <c r="B25" s="174" t="s">
        <v>507</v>
      </c>
      <c r="C25" s="527">
        <v>18</v>
      </c>
      <c r="D25" s="528">
        <v>4740</v>
      </c>
      <c r="E25" s="527" t="s">
        <v>502</v>
      </c>
    </row>
    <row r="26" spans="1:5" ht="21">
      <c r="A26" s="524" t="s">
        <v>508</v>
      </c>
      <c r="B26" s="174" t="s">
        <v>509</v>
      </c>
      <c r="C26" s="527">
        <v>76</v>
      </c>
      <c r="D26" s="528">
        <v>801800</v>
      </c>
      <c r="E26" s="527" t="s">
        <v>502</v>
      </c>
    </row>
    <row r="27" spans="1:5" ht="21">
      <c r="A27" s="524" t="s">
        <v>510</v>
      </c>
      <c r="B27" s="174" t="s">
        <v>511</v>
      </c>
      <c r="C27" s="527">
        <v>8</v>
      </c>
      <c r="D27" s="528">
        <v>346000</v>
      </c>
      <c r="E27" s="527" t="s">
        <v>502</v>
      </c>
    </row>
    <row r="28" spans="1:5" ht="21">
      <c r="A28" s="524" t="s">
        <v>92</v>
      </c>
      <c r="B28" s="174" t="s">
        <v>507</v>
      </c>
      <c r="C28" s="527"/>
      <c r="D28" s="528"/>
      <c r="E28" s="527"/>
    </row>
    <row r="29" spans="1:5" ht="21">
      <c r="A29" s="524" t="s">
        <v>512</v>
      </c>
      <c r="B29" s="174" t="s">
        <v>507</v>
      </c>
      <c r="C29" s="527"/>
      <c r="D29" s="528"/>
      <c r="E29" s="527"/>
    </row>
    <row r="30" spans="1:5" ht="21">
      <c r="A30" s="524" t="s">
        <v>512</v>
      </c>
      <c r="B30" s="174" t="s">
        <v>507</v>
      </c>
      <c r="C30" s="527"/>
      <c r="D30" s="528"/>
      <c r="E30" s="527"/>
    </row>
    <row r="31" spans="1:5" ht="21">
      <c r="A31" s="524" t="s">
        <v>513</v>
      </c>
      <c r="B31" s="174" t="s">
        <v>507</v>
      </c>
      <c r="C31" s="527"/>
      <c r="D31" s="528"/>
      <c r="E31" s="527"/>
    </row>
    <row r="32" spans="1:5" ht="21">
      <c r="A32" s="524" t="s">
        <v>514</v>
      </c>
      <c r="B32" s="174"/>
      <c r="C32" s="527"/>
      <c r="D32" s="528"/>
      <c r="E32" s="527"/>
    </row>
    <row r="33" spans="1:5" ht="21">
      <c r="A33" s="529" t="s">
        <v>4</v>
      </c>
      <c r="B33" s="157"/>
      <c r="C33" s="530">
        <f>SUM(C22:C32)</f>
        <v>703</v>
      </c>
      <c r="D33" s="531">
        <f>SUM(D22:D32)</f>
        <v>1178210</v>
      </c>
      <c r="E33" s="530" t="s">
        <v>502</v>
      </c>
    </row>
    <row r="34" ht="21">
      <c r="A34" s="106" t="s">
        <v>515</v>
      </c>
    </row>
    <row r="35" spans="1:5" ht="21">
      <c r="A35" s="675" t="s">
        <v>516</v>
      </c>
      <c r="B35" s="675"/>
      <c r="C35" s="675"/>
      <c r="D35" s="675"/>
      <c r="E35" s="675"/>
    </row>
    <row r="36" spans="1:4" ht="21">
      <c r="A36" s="148"/>
      <c r="B36" s="148"/>
      <c r="D36" s="532"/>
    </row>
    <row r="37" ht="21">
      <c r="A37" s="106" t="s">
        <v>517</v>
      </c>
    </row>
  </sheetData>
  <sheetProtection/>
  <mergeCells count="16">
    <mergeCell ref="A35:E35"/>
    <mergeCell ref="C16:E16"/>
    <mergeCell ref="C17:E17"/>
    <mergeCell ref="A18:A19"/>
    <mergeCell ref="B18:B19"/>
    <mergeCell ref="C18:E19"/>
    <mergeCell ref="A20:A21"/>
    <mergeCell ref="B20:B21"/>
    <mergeCell ref="C20:E20"/>
    <mergeCell ref="D21:E21"/>
    <mergeCell ref="D1:E1"/>
    <mergeCell ref="C2:E2"/>
    <mergeCell ref="C14:E14"/>
    <mergeCell ref="C15:E15"/>
    <mergeCell ref="A10:A11"/>
    <mergeCell ref="B10:E11"/>
  </mergeCells>
  <printOptions/>
  <pageMargins left="0.49" right="0.37" top="0.35433070866141736" bottom="0.17" header="0.2755905511811024" footer="0.2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9">
      <selection activeCell="I38" sqref="I38"/>
    </sheetView>
  </sheetViews>
  <sheetFormatPr defaultColWidth="9.140625" defaultRowHeight="23.25"/>
  <cols>
    <col min="1" max="1" width="33.00390625" style="106" customWidth="1"/>
    <col min="2" max="2" width="26.421875" style="106" customWidth="1"/>
    <col min="3" max="3" width="12.28125" style="148" customWidth="1"/>
    <col min="4" max="4" width="23.28125" style="521" customWidth="1"/>
    <col min="5" max="5" width="5.00390625" style="148" customWidth="1"/>
    <col min="6" max="16384" width="9.140625" style="106" customWidth="1"/>
  </cols>
  <sheetData>
    <row r="1" spans="4:5" ht="23.25">
      <c r="D1" s="751" t="s">
        <v>475</v>
      </c>
      <c r="E1" s="751"/>
    </row>
    <row r="2" spans="1:5" ht="23.25">
      <c r="A2" s="67" t="s">
        <v>476</v>
      </c>
      <c r="B2" s="179"/>
      <c r="C2" s="752" t="s">
        <v>477</v>
      </c>
      <c r="D2" s="752"/>
      <c r="E2" s="752"/>
    </row>
    <row r="3" spans="1:5" ht="23.25">
      <c r="A3" s="67"/>
      <c r="B3" s="67" t="s">
        <v>478</v>
      </c>
      <c r="C3" s="61" t="s">
        <v>479</v>
      </c>
      <c r="D3" s="520"/>
      <c r="E3" s="61"/>
    </row>
    <row r="4" spans="1:5" ht="23.25">
      <c r="A4" s="67"/>
      <c r="B4" s="67"/>
      <c r="C4" s="61"/>
      <c r="D4" s="520"/>
      <c r="E4" s="61"/>
    </row>
    <row r="5" spans="1:5" ht="23.25">
      <c r="A5" s="67" t="s">
        <v>480</v>
      </c>
      <c r="B5" s="67"/>
      <c r="C5" s="61"/>
      <c r="D5" s="520"/>
      <c r="E5" s="61"/>
    </row>
    <row r="6" spans="1:2" ht="23.25">
      <c r="A6" s="67" t="s">
        <v>481</v>
      </c>
      <c r="B6" s="67"/>
    </row>
    <row r="7" ht="23.25">
      <c r="A7" s="82" t="s">
        <v>482</v>
      </c>
    </row>
    <row r="8" spans="1:2" ht="23.25">
      <c r="A8" s="67" t="s">
        <v>483</v>
      </c>
      <c r="B8" s="522"/>
    </row>
    <row r="9" ht="23.25">
      <c r="A9" s="67" t="s">
        <v>484</v>
      </c>
    </row>
    <row r="10" spans="1:5" ht="21" customHeight="1">
      <c r="A10" s="753" t="s">
        <v>485</v>
      </c>
      <c r="B10" s="753" t="s">
        <v>518</v>
      </c>
      <c r="C10" s="753"/>
      <c r="D10" s="753"/>
      <c r="E10" s="753"/>
    </row>
    <row r="11" spans="1:5" ht="21" customHeight="1">
      <c r="A11" s="753"/>
      <c r="B11" s="753"/>
      <c r="C11" s="753"/>
      <c r="D11" s="753"/>
      <c r="E11" s="753"/>
    </row>
    <row r="12" spans="1:5" ht="23.25">
      <c r="A12" s="67" t="s">
        <v>487</v>
      </c>
      <c r="B12" s="67"/>
      <c r="C12" s="61"/>
      <c r="D12" s="520"/>
      <c r="E12" s="61"/>
    </row>
    <row r="13" ht="23.25">
      <c r="A13" s="67" t="s">
        <v>488</v>
      </c>
    </row>
    <row r="14" spans="3:5" ht="23.25">
      <c r="C14" s="650" t="s">
        <v>489</v>
      </c>
      <c r="D14" s="650"/>
      <c r="E14" s="650"/>
    </row>
    <row r="15" spans="3:5" ht="30" customHeight="1">
      <c r="C15" s="675" t="s">
        <v>490</v>
      </c>
      <c r="D15" s="675"/>
      <c r="E15" s="675"/>
    </row>
    <row r="16" spans="3:5" ht="30" customHeight="1">
      <c r="C16" s="650" t="s">
        <v>491</v>
      </c>
      <c r="D16" s="650"/>
      <c r="E16" s="650"/>
    </row>
    <row r="17" spans="3:5" ht="23.25">
      <c r="C17" s="658" t="s">
        <v>492</v>
      </c>
      <c r="D17" s="658"/>
      <c r="E17" s="658"/>
    </row>
    <row r="18" spans="1:5" ht="21" customHeight="1">
      <c r="A18" s="754" t="s">
        <v>493</v>
      </c>
      <c r="B18" s="659" t="s">
        <v>494</v>
      </c>
      <c r="C18" s="659" t="s">
        <v>519</v>
      </c>
      <c r="D18" s="660"/>
      <c r="E18" s="756"/>
    </row>
    <row r="19" spans="1:5" ht="21" customHeight="1">
      <c r="A19" s="755"/>
      <c r="B19" s="661"/>
      <c r="C19" s="661"/>
      <c r="D19" s="662"/>
      <c r="E19" s="757"/>
    </row>
    <row r="20" spans="1:5" ht="21">
      <c r="A20" s="758" t="s">
        <v>496</v>
      </c>
      <c r="B20" s="677" t="s">
        <v>497</v>
      </c>
      <c r="C20" s="760" t="s">
        <v>28</v>
      </c>
      <c r="D20" s="761"/>
      <c r="E20" s="762"/>
    </row>
    <row r="21" spans="1:5" ht="21">
      <c r="A21" s="759"/>
      <c r="B21" s="678"/>
      <c r="C21" s="523" t="s">
        <v>498</v>
      </c>
      <c r="D21" s="760" t="s">
        <v>499</v>
      </c>
      <c r="E21" s="762"/>
    </row>
    <row r="22" spans="1:5" ht="21">
      <c r="A22" s="524" t="s">
        <v>500</v>
      </c>
      <c r="B22" s="174" t="s">
        <v>501</v>
      </c>
      <c r="C22" s="525">
        <v>2</v>
      </c>
      <c r="D22" s="526">
        <v>15220</v>
      </c>
      <c r="E22" s="525" t="s">
        <v>502</v>
      </c>
    </row>
    <row r="23" spans="1:5" ht="21">
      <c r="A23" s="524" t="s">
        <v>503</v>
      </c>
      <c r="B23" s="174" t="s">
        <v>504</v>
      </c>
      <c r="C23" s="527"/>
      <c r="D23" s="528"/>
      <c r="E23" s="527"/>
    </row>
    <row r="24" spans="1:5" ht="21">
      <c r="A24" s="524" t="s">
        <v>505</v>
      </c>
      <c r="B24" s="174" t="s">
        <v>506</v>
      </c>
      <c r="C24" s="527">
        <v>582</v>
      </c>
      <c r="D24" s="528">
        <v>21885</v>
      </c>
      <c r="E24" s="527" t="s">
        <v>502</v>
      </c>
    </row>
    <row r="25" spans="1:5" ht="21">
      <c r="A25" s="524" t="s">
        <v>318</v>
      </c>
      <c r="B25" s="174" t="s">
        <v>507</v>
      </c>
      <c r="C25" s="527">
        <v>16</v>
      </c>
      <c r="D25" s="528">
        <v>4450</v>
      </c>
      <c r="E25" s="527" t="s">
        <v>502</v>
      </c>
    </row>
    <row r="26" spans="1:5" ht="21">
      <c r="A26" s="524" t="s">
        <v>508</v>
      </c>
      <c r="B26" s="174" t="s">
        <v>509</v>
      </c>
      <c r="C26" s="527">
        <v>76</v>
      </c>
      <c r="D26" s="528">
        <v>799300</v>
      </c>
      <c r="E26" s="527" t="s">
        <v>502</v>
      </c>
    </row>
    <row r="27" spans="1:5" ht="21">
      <c r="A27" s="524" t="s">
        <v>510</v>
      </c>
      <c r="B27" s="174" t="s">
        <v>511</v>
      </c>
      <c r="C27" s="527">
        <v>8</v>
      </c>
      <c r="D27" s="528">
        <v>346000</v>
      </c>
      <c r="E27" s="527" t="s">
        <v>502</v>
      </c>
    </row>
    <row r="28" spans="1:5" ht="21">
      <c r="A28" s="524" t="s">
        <v>92</v>
      </c>
      <c r="B28" s="174" t="s">
        <v>507</v>
      </c>
      <c r="C28" s="527"/>
      <c r="D28" s="528"/>
      <c r="E28" s="527"/>
    </row>
    <row r="29" spans="1:5" ht="21">
      <c r="A29" s="524" t="s">
        <v>512</v>
      </c>
      <c r="B29" s="174" t="s">
        <v>507</v>
      </c>
      <c r="C29" s="527"/>
      <c r="D29" s="528"/>
      <c r="E29" s="527"/>
    </row>
    <row r="30" spans="1:5" ht="21">
      <c r="A30" s="524" t="s">
        <v>512</v>
      </c>
      <c r="B30" s="174" t="s">
        <v>507</v>
      </c>
      <c r="C30" s="527"/>
      <c r="D30" s="528"/>
      <c r="E30" s="527"/>
    </row>
    <row r="31" spans="1:5" ht="21">
      <c r="A31" s="524" t="s">
        <v>513</v>
      </c>
      <c r="B31" s="174" t="s">
        <v>507</v>
      </c>
      <c r="C31" s="527"/>
      <c r="D31" s="528"/>
      <c r="E31" s="527"/>
    </row>
    <row r="32" spans="1:5" ht="21">
      <c r="A32" s="524" t="s">
        <v>514</v>
      </c>
      <c r="B32" s="174"/>
      <c r="C32" s="527"/>
      <c r="D32" s="528"/>
      <c r="E32" s="527"/>
    </row>
    <row r="33" spans="1:5" ht="21">
      <c r="A33" s="529" t="s">
        <v>4</v>
      </c>
      <c r="B33" s="157"/>
      <c r="C33" s="530">
        <f>SUM(C22:C32)</f>
        <v>684</v>
      </c>
      <c r="D33" s="531">
        <f>SUM(D22:D32)</f>
        <v>1186855</v>
      </c>
      <c r="E33" s="530" t="s">
        <v>502</v>
      </c>
    </row>
    <row r="34" ht="21">
      <c r="A34" s="106" t="s">
        <v>515</v>
      </c>
    </row>
    <row r="35" spans="1:5" ht="21">
      <c r="A35" s="675" t="s">
        <v>516</v>
      </c>
      <c r="B35" s="675"/>
      <c r="C35" s="675"/>
      <c r="D35" s="675"/>
      <c r="E35" s="675"/>
    </row>
    <row r="36" spans="1:4" ht="21">
      <c r="A36" s="148"/>
      <c r="B36" s="148"/>
      <c r="D36" s="532"/>
    </row>
    <row r="37" ht="21">
      <c r="A37" s="106" t="s">
        <v>517</v>
      </c>
    </row>
  </sheetData>
  <sheetProtection/>
  <mergeCells count="16">
    <mergeCell ref="A35:E35"/>
    <mergeCell ref="C16:E16"/>
    <mergeCell ref="C17:E17"/>
    <mergeCell ref="A18:A19"/>
    <mergeCell ref="B18:B19"/>
    <mergeCell ref="C18:E19"/>
    <mergeCell ref="A20:A21"/>
    <mergeCell ref="B20:B21"/>
    <mergeCell ref="C20:E20"/>
    <mergeCell ref="D21:E21"/>
    <mergeCell ref="D1:E1"/>
    <mergeCell ref="C2:E2"/>
    <mergeCell ref="C14:E14"/>
    <mergeCell ref="C15:E15"/>
    <mergeCell ref="A10:A11"/>
    <mergeCell ref="B10:E11"/>
  </mergeCells>
  <printOptions/>
  <pageMargins left="0.49" right="0.37" top="0.35433070866141736" bottom="0.17" header="0.2755905511811024" footer="0.2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2" sqref="A1:E2"/>
    </sheetView>
  </sheetViews>
  <sheetFormatPr defaultColWidth="9.140625" defaultRowHeight="23.25"/>
  <cols>
    <col min="1" max="1" width="9.140625" style="1" customWidth="1"/>
    <col min="2" max="2" width="32.28125" style="0" customWidth="1"/>
    <col min="3" max="3" width="14.57421875" style="1" customWidth="1"/>
    <col min="4" max="4" width="19.28125" style="603" customWidth="1"/>
    <col min="5" max="5" width="27.57421875" style="0" customWidth="1"/>
  </cols>
  <sheetData>
    <row r="1" spans="1:5" ht="23.25">
      <c r="A1" s="679" t="s">
        <v>665</v>
      </c>
      <c r="B1" s="679"/>
      <c r="C1" s="679"/>
      <c r="D1" s="679"/>
      <c r="E1" s="679"/>
    </row>
    <row r="2" spans="1:5" ht="23.25">
      <c r="A2" s="679" t="s">
        <v>666</v>
      </c>
      <c r="B2" s="679"/>
      <c r="C2" s="679"/>
      <c r="D2" s="679"/>
      <c r="E2" s="679"/>
    </row>
    <row r="3" spans="1:5" ht="23.25">
      <c r="A3" s="643"/>
      <c r="B3" s="643"/>
      <c r="C3" s="643"/>
      <c r="D3" s="647"/>
      <c r="E3" s="643"/>
    </row>
    <row r="4" spans="1:5" ht="23.25">
      <c r="A4" s="763" t="s">
        <v>36</v>
      </c>
      <c r="B4" s="763" t="s">
        <v>277</v>
      </c>
      <c r="C4" s="763" t="s">
        <v>667</v>
      </c>
      <c r="D4" s="765" t="s">
        <v>28</v>
      </c>
      <c r="E4" s="763" t="s">
        <v>35</v>
      </c>
    </row>
    <row r="5" spans="1:5" ht="23.25">
      <c r="A5" s="764"/>
      <c r="B5" s="764"/>
      <c r="C5" s="764"/>
      <c r="D5" s="766"/>
      <c r="E5" s="764"/>
    </row>
    <row r="6" spans="1:5" ht="23.25">
      <c r="A6" s="598">
        <v>1</v>
      </c>
      <c r="B6" s="644" t="s">
        <v>668</v>
      </c>
      <c r="C6" s="598">
        <v>30</v>
      </c>
      <c r="D6" s="600">
        <v>1360</v>
      </c>
      <c r="E6" s="644" t="s">
        <v>682</v>
      </c>
    </row>
    <row r="7" spans="1:5" ht="23.25">
      <c r="A7" s="597"/>
      <c r="B7" s="644" t="s">
        <v>669</v>
      </c>
      <c r="C7" s="597">
        <v>38</v>
      </c>
      <c r="D7" s="601">
        <v>1679</v>
      </c>
      <c r="E7" s="644" t="s">
        <v>683</v>
      </c>
    </row>
    <row r="8" spans="1:5" ht="23.25">
      <c r="A8" s="597"/>
      <c r="B8" s="644" t="s">
        <v>670</v>
      </c>
      <c r="C8" s="597">
        <v>41</v>
      </c>
      <c r="D8" s="601">
        <v>1758</v>
      </c>
      <c r="E8" s="644" t="s">
        <v>684</v>
      </c>
    </row>
    <row r="9" spans="1:5" ht="23.25">
      <c r="A9" s="597"/>
      <c r="B9" s="644" t="s">
        <v>671</v>
      </c>
      <c r="C9" s="597">
        <v>45</v>
      </c>
      <c r="D9" s="601">
        <v>1874</v>
      </c>
      <c r="E9" s="644" t="s">
        <v>685</v>
      </c>
    </row>
    <row r="10" spans="1:5" ht="23.25">
      <c r="A10" s="597"/>
      <c r="B10" s="644" t="s">
        <v>672</v>
      </c>
      <c r="C10" s="597">
        <v>10</v>
      </c>
      <c r="D10" s="601">
        <v>246</v>
      </c>
      <c r="E10" s="644" t="s">
        <v>686</v>
      </c>
    </row>
    <row r="11" spans="1:5" ht="23.25">
      <c r="A11" s="597"/>
      <c r="B11" s="644" t="s">
        <v>673</v>
      </c>
      <c r="C11" s="597">
        <v>13</v>
      </c>
      <c r="D11" s="601">
        <v>423</v>
      </c>
      <c r="E11" s="644" t="s">
        <v>687</v>
      </c>
    </row>
    <row r="12" spans="1:5" ht="23.25">
      <c r="A12" s="597"/>
      <c r="B12" s="644" t="s">
        <v>674</v>
      </c>
      <c r="C12" s="597">
        <v>16</v>
      </c>
      <c r="D12" s="601">
        <v>513</v>
      </c>
      <c r="E12" s="644" t="s">
        <v>688</v>
      </c>
    </row>
    <row r="13" spans="1:5" ht="23.25">
      <c r="A13" s="597"/>
      <c r="B13" s="644" t="s">
        <v>675</v>
      </c>
      <c r="C13" s="597">
        <v>23</v>
      </c>
      <c r="D13" s="601">
        <v>807</v>
      </c>
      <c r="E13" s="644" t="s">
        <v>689</v>
      </c>
    </row>
    <row r="14" spans="1:5" ht="23.25">
      <c r="A14" s="597"/>
      <c r="B14" s="644" t="s">
        <v>676</v>
      </c>
      <c r="C14" s="597">
        <v>33</v>
      </c>
      <c r="D14" s="601">
        <v>1378</v>
      </c>
      <c r="E14" s="644" t="s">
        <v>690</v>
      </c>
    </row>
    <row r="15" spans="1:5" ht="23.25">
      <c r="A15" s="597"/>
      <c r="B15" s="644" t="s">
        <v>677</v>
      </c>
      <c r="C15" s="597">
        <v>48</v>
      </c>
      <c r="D15" s="601">
        <v>1702</v>
      </c>
      <c r="E15" s="644" t="s">
        <v>691</v>
      </c>
    </row>
    <row r="16" spans="1:5" ht="23.25">
      <c r="A16" s="597"/>
      <c r="B16" s="644" t="s">
        <v>678</v>
      </c>
      <c r="C16" s="597">
        <v>66</v>
      </c>
      <c r="D16" s="601">
        <v>2322</v>
      </c>
      <c r="E16" s="644" t="s">
        <v>692</v>
      </c>
    </row>
    <row r="17" spans="1:5" ht="23.25">
      <c r="A17" s="597"/>
      <c r="B17" s="644" t="s">
        <v>679</v>
      </c>
      <c r="C17" s="597">
        <v>28</v>
      </c>
      <c r="D17" s="601">
        <v>1224</v>
      </c>
      <c r="E17" s="644" t="s">
        <v>693</v>
      </c>
    </row>
    <row r="18" spans="1:5" ht="23.25">
      <c r="A18" s="597"/>
      <c r="B18" s="644" t="s">
        <v>680</v>
      </c>
      <c r="C18" s="597">
        <v>54</v>
      </c>
      <c r="D18" s="601">
        <v>2614</v>
      </c>
      <c r="E18" s="644" t="s">
        <v>694</v>
      </c>
    </row>
    <row r="19" spans="1:5" ht="23.25">
      <c r="A19" s="597"/>
      <c r="B19" s="644" t="s">
        <v>681</v>
      </c>
      <c r="C19" s="645">
        <v>158</v>
      </c>
      <c r="D19" s="648">
        <v>6012</v>
      </c>
      <c r="E19" s="644" t="s">
        <v>695</v>
      </c>
    </row>
    <row r="20" spans="1:5" ht="24" thickBot="1">
      <c r="A20" s="597"/>
      <c r="B20" s="595"/>
      <c r="C20" s="597"/>
      <c r="D20" s="604">
        <f>SUM(D6:D19)</f>
        <v>23912</v>
      </c>
      <c r="E20" s="644" t="s">
        <v>696</v>
      </c>
    </row>
    <row r="21" spans="1:5" ht="21.75" customHeight="1" thickTop="1">
      <c r="A21" s="599"/>
      <c r="B21" s="596"/>
      <c r="C21" s="646"/>
      <c r="D21" s="649"/>
      <c r="E21" s="596"/>
    </row>
    <row r="22" spans="1:5" ht="23.25">
      <c r="A22" s="598">
        <v>2</v>
      </c>
      <c r="B22" s="341" t="s">
        <v>697</v>
      </c>
      <c r="C22" s="598">
        <v>4</v>
      </c>
      <c r="D22" s="600">
        <v>1640</v>
      </c>
      <c r="E22" s="341"/>
    </row>
    <row r="23" spans="1:5" ht="23.25">
      <c r="A23" s="597"/>
      <c r="B23" s="595" t="s">
        <v>698</v>
      </c>
      <c r="C23" s="597">
        <v>9</v>
      </c>
      <c r="D23" s="601">
        <v>1265</v>
      </c>
      <c r="E23" s="595"/>
    </row>
    <row r="24" spans="1:5" ht="23.25">
      <c r="A24" s="597"/>
      <c r="B24" s="595" t="s">
        <v>699</v>
      </c>
      <c r="C24" s="597">
        <v>398</v>
      </c>
      <c r="D24" s="648">
        <v>64060</v>
      </c>
      <c r="E24" s="595"/>
    </row>
    <row r="25" spans="1:5" ht="24" thickBot="1">
      <c r="A25" s="597"/>
      <c r="B25" s="595"/>
      <c r="C25" s="597"/>
      <c r="D25" s="604">
        <f>SUM(D22:D24)</f>
        <v>66965</v>
      </c>
      <c r="E25" s="595"/>
    </row>
    <row r="26" spans="1:5" ht="24" thickTop="1">
      <c r="A26" s="597"/>
      <c r="B26" s="595"/>
      <c r="C26" s="597"/>
      <c r="D26" s="600"/>
      <c r="E26" s="595"/>
    </row>
    <row r="27" spans="1:5" ht="23.25">
      <c r="A27" s="597"/>
      <c r="B27" s="595"/>
      <c r="C27" s="597"/>
      <c r="D27" s="601"/>
      <c r="E27" s="595"/>
    </row>
    <row r="28" spans="1:5" ht="23.25">
      <c r="A28" s="597"/>
      <c r="B28" s="595"/>
      <c r="C28" s="597"/>
      <c r="D28" s="601"/>
      <c r="E28" s="595"/>
    </row>
    <row r="29" spans="1:5" ht="23.25">
      <c r="A29" s="599"/>
      <c r="B29" s="596"/>
      <c r="C29" s="599"/>
      <c r="D29" s="602"/>
      <c r="E29" s="596"/>
    </row>
  </sheetData>
  <sheetProtection/>
  <mergeCells count="7">
    <mergeCell ref="A1:E1"/>
    <mergeCell ref="A2:E2"/>
    <mergeCell ref="A4:A5"/>
    <mergeCell ref="B4:B5"/>
    <mergeCell ref="C4:C5"/>
    <mergeCell ref="D4:D5"/>
    <mergeCell ref="E4:E5"/>
  </mergeCell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7" sqref="E17"/>
    </sheetView>
  </sheetViews>
  <sheetFormatPr defaultColWidth="9.140625" defaultRowHeight="23.25"/>
  <cols>
    <col min="1" max="1" width="6.28125" style="287" bestFit="1" customWidth="1"/>
    <col min="2" max="2" width="57.421875" style="286" customWidth="1"/>
    <col min="3" max="3" width="9.421875" style="286" bestFit="1" customWidth="1"/>
    <col min="4" max="4" width="12.28125" style="286" bestFit="1" customWidth="1"/>
    <col min="5" max="5" width="11.00390625" style="288" bestFit="1" customWidth="1"/>
    <col min="6" max="16384" width="9.140625" style="286" customWidth="1"/>
  </cols>
  <sheetData>
    <row r="1" spans="1:5" ht="23.25">
      <c r="A1" s="656" t="s">
        <v>418</v>
      </c>
      <c r="B1" s="656"/>
      <c r="C1" s="656"/>
      <c r="D1" s="656"/>
      <c r="E1" s="656"/>
    </row>
    <row r="2" spans="1:5" ht="23.25">
      <c r="A2" s="656" t="s">
        <v>441</v>
      </c>
      <c r="B2" s="656"/>
      <c r="C2" s="656"/>
      <c r="D2" s="656"/>
      <c r="E2" s="656"/>
    </row>
    <row r="3" spans="1:5" ht="23.25">
      <c r="A3" s="656" t="s">
        <v>427</v>
      </c>
      <c r="B3" s="656"/>
      <c r="C3" s="656"/>
      <c r="D3" s="656"/>
      <c r="E3" s="656"/>
    </row>
    <row r="4" spans="1:5" ht="23.25">
      <c r="A4" s="655" t="s">
        <v>36</v>
      </c>
      <c r="B4" s="655" t="s">
        <v>5</v>
      </c>
      <c r="C4" s="654" t="s">
        <v>457</v>
      </c>
      <c r="D4" s="654"/>
      <c r="E4" s="654"/>
    </row>
    <row r="5" spans="1:5" ht="23.25">
      <c r="A5" s="655"/>
      <c r="B5" s="655"/>
      <c r="C5" s="508" t="s">
        <v>439</v>
      </c>
      <c r="D5" s="508" t="s">
        <v>324</v>
      </c>
      <c r="E5" s="512" t="s">
        <v>28</v>
      </c>
    </row>
    <row r="6" spans="1:5" ht="23.25">
      <c r="A6" s="330">
        <v>1</v>
      </c>
      <c r="B6" s="291" t="s">
        <v>444</v>
      </c>
      <c r="C6" s="332" t="s">
        <v>442</v>
      </c>
      <c r="D6" s="331" t="s">
        <v>443</v>
      </c>
      <c r="E6" s="297">
        <v>315.95</v>
      </c>
    </row>
    <row r="7" spans="1:5" ht="23.25">
      <c r="A7" s="290">
        <v>2</v>
      </c>
      <c r="B7" s="291" t="s">
        <v>445</v>
      </c>
      <c r="C7" s="292" t="s">
        <v>442</v>
      </c>
      <c r="D7" s="291" t="s">
        <v>446</v>
      </c>
      <c r="E7" s="293">
        <v>19</v>
      </c>
    </row>
    <row r="8" spans="1:5" ht="23.25">
      <c r="A8" s="330">
        <v>3</v>
      </c>
      <c r="B8" s="291" t="s">
        <v>440</v>
      </c>
      <c r="C8" s="291" t="s">
        <v>447</v>
      </c>
      <c r="D8" s="291" t="s">
        <v>448</v>
      </c>
      <c r="E8" s="294">
        <v>641.25</v>
      </c>
    </row>
    <row r="9" spans="1:5" ht="23.25">
      <c r="A9" s="290">
        <v>4</v>
      </c>
      <c r="B9" s="291" t="s">
        <v>440</v>
      </c>
      <c r="C9" s="301" t="s">
        <v>449</v>
      </c>
      <c r="D9" s="291" t="s">
        <v>450</v>
      </c>
      <c r="E9" s="302">
        <v>23.75</v>
      </c>
    </row>
    <row r="10" spans="1:5" ht="23.25">
      <c r="A10" s="330">
        <v>5</v>
      </c>
      <c r="B10" s="291" t="s">
        <v>440</v>
      </c>
      <c r="C10" s="301" t="s">
        <v>451</v>
      </c>
      <c r="D10" s="301" t="s">
        <v>452</v>
      </c>
      <c r="E10" s="302">
        <v>385.7</v>
      </c>
    </row>
    <row r="11" spans="1:5" ht="23.25">
      <c r="A11" s="290">
        <v>6</v>
      </c>
      <c r="B11" s="291" t="s">
        <v>440</v>
      </c>
      <c r="C11" s="301" t="s">
        <v>453</v>
      </c>
      <c r="D11" s="301" t="s">
        <v>454</v>
      </c>
      <c r="E11" s="302">
        <v>292.6</v>
      </c>
    </row>
    <row r="12" spans="1:5" ht="23.25">
      <c r="A12" s="330">
        <v>7</v>
      </c>
      <c r="B12" s="291" t="s">
        <v>440</v>
      </c>
      <c r="C12" s="301" t="s">
        <v>455</v>
      </c>
      <c r="D12" s="301" t="s">
        <v>456</v>
      </c>
      <c r="E12" s="302">
        <v>172.9</v>
      </c>
    </row>
    <row r="13" spans="1:5" ht="23.25">
      <c r="A13" s="290">
        <v>8</v>
      </c>
      <c r="B13" s="291" t="s">
        <v>440</v>
      </c>
      <c r="C13" s="301" t="s">
        <v>458</v>
      </c>
      <c r="D13" s="301" t="s">
        <v>459</v>
      </c>
      <c r="E13" s="302">
        <v>222.3</v>
      </c>
    </row>
    <row r="14" spans="1:5" ht="23.25">
      <c r="A14" s="330">
        <v>9</v>
      </c>
      <c r="B14" s="291" t="s">
        <v>440</v>
      </c>
      <c r="C14" s="301" t="s">
        <v>460</v>
      </c>
      <c r="D14" s="301" t="s">
        <v>461</v>
      </c>
      <c r="E14" s="302">
        <v>1931.35</v>
      </c>
    </row>
    <row r="15" spans="1:5" ht="23.25">
      <c r="A15" s="290">
        <v>10</v>
      </c>
      <c r="B15" s="291" t="s">
        <v>440</v>
      </c>
      <c r="C15" s="301" t="s">
        <v>462</v>
      </c>
      <c r="D15" s="301" t="s">
        <v>463</v>
      </c>
      <c r="E15" s="302">
        <v>370.5</v>
      </c>
    </row>
    <row r="16" spans="1:5" ht="23.25">
      <c r="A16" s="330">
        <v>11</v>
      </c>
      <c r="B16" s="291" t="s">
        <v>470</v>
      </c>
      <c r="C16" s="301" t="s">
        <v>464</v>
      </c>
      <c r="D16" s="301" t="s">
        <v>463</v>
      </c>
      <c r="E16" s="302" t="e">
        <f>#REF!</f>
        <v>#REF!</v>
      </c>
    </row>
    <row r="17" spans="1:5" ht="24" thickBot="1">
      <c r="A17" s="295"/>
      <c r="B17" s="296"/>
      <c r="C17" s="289"/>
      <c r="D17" s="289"/>
      <c r="E17" s="304" t="e">
        <f>SUM(E6:E16)</f>
        <v>#REF!</v>
      </c>
    </row>
    <row r="18" ht="24" thickTop="1"/>
  </sheetData>
  <sheetProtection/>
  <mergeCells count="6">
    <mergeCell ref="C4:E4"/>
    <mergeCell ref="A4:A5"/>
    <mergeCell ref="B4:B5"/>
    <mergeCell ref="A1:E1"/>
    <mergeCell ref="A2:E2"/>
    <mergeCell ref="A3:E3"/>
  </mergeCells>
  <printOptions/>
  <pageMargins left="0.59" right="0.39" top="0.4724409448818898" bottom="0.3937007874015748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2" sqref="D12"/>
    </sheetView>
  </sheetViews>
  <sheetFormatPr defaultColWidth="9.140625" defaultRowHeight="23.25"/>
  <cols>
    <col min="1" max="1" width="4.8515625" style="67" customWidth="1"/>
    <col min="2" max="2" width="27.28125" style="67" bestFit="1" customWidth="1"/>
    <col min="3" max="3" width="13.57421875" style="49" bestFit="1" customWidth="1"/>
    <col min="4" max="4" width="30.00390625" style="67" customWidth="1"/>
    <col min="5" max="5" width="15.421875" style="49" customWidth="1"/>
    <col min="6" max="16384" width="9.140625" style="67" customWidth="1"/>
  </cols>
  <sheetData>
    <row r="1" spans="1:5" ht="23.25">
      <c r="A1" s="650" t="s">
        <v>209</v>
      </c>
      <c r="B1" s="650"/>
      <c r="C1" s="650"/>
      <c r="D1" s="650"/>
      <c r="E1" s="650"/>
    </row>
    <row r="2" spans="1:5" ht="23.25">
      <c r="A2" s="650" t="s">
        <v>152</v>
      </c>
      <c r="B2" s="650"/>
      <c r="C2" s="650"/>
      <c r="D2" s="650"/>
      <c r="E2" s="650"/>
    </row>
    <row r="3" spans="1:5" ht="23.25">
      <c r="A3" s="658" t="s">
        <v>253</v>
      </c>
      <c r="B3" s="658"/>
      <c r="C3" s="658"/>
      <c r="D3" s="658"/>
      <c r="E3" s="658"/>
    </row>
    <row r="4" spans="1:5" ht="23.25">
      <c r="A4" s="659" t="s">
        <v>38</v>
      </c>
      <c r="B4" s="660"/>
      <c r="C4" s="663" t="s">
        <v>56</v>
      </c>
      <c r="D4" s="665" t="s">
        <v>57</v>
      </c>
      <c r="E4" s="665"/>
    </row>
    <row r="5" spans="1:5" ht="23.25">
      <c r="A5" s="661"/>
      <c r="B5" s="662"/>
      <c r="C5" s="664"/>
      <c r="D5" s="51" t="s">
        <v>58</v>
      </c>
      <c r="E5" s="69" t="s">
        <v>28</v>
      </c>
    </row>
    <row r="6" spans="1:5" ht="23.25">
      <c r="A6" s="23" t="s">
        <v>254</v>
      </c>
      <c r="B6" s="16"/>
      <c r="C6" s="72"/>
      <c r="D6" s="16"/>
      <c r="E6" s="235"/>
    </row>
    <row r="7" spans="1:5" ht="23.25">
      <c r="A7" s="23"/>
      <c r="B7" s="16" t="s">
        <v>256</v>
      </c>
      <c r="C7" s="72">
        <v>4972323</v>
      </c>
      <c r="D7" s="16" t="s">
        <v>255</v>
      </c>
      <c r="E7" s="72">
        <f>SUM(C7:C8)</f>
        <v>8680323</v>
      </c>
    </row>
    <row r="8" spans="1:5" ht="23.25">
      <c r="A8" s="23"/>
      <c r="B8" s="16" t="s">
        <v>257</v>
      </c>
      <c r="C8" s="72">
        <v>3708000</v>
      </c>
      <c r="D8" s="16"/>
      <c r="E8" s="72"/>
    </row>
    <row r="9" spans="1:5" ht="23.25">
      <c r="A9" s="23"/>
      <c r="B9" s="16" t="s">
        <v>258</v>
      </c>
      <c r="C9" s="72"/>
      <c r="D9" s="16"/>
      <c r="E9" s="72"/>
    </row>
    <row r="10" spans="1:5" ht="23.25">
      <c r="A10" s="23"/>
      <c r="B10" s="16"/>
      <c r="C10" s="72"/>
      <c r="D10" s="16"/>
      <c r="E10" s="72"/>
    </row>
    <row r="11" spans="1:5" ht="23.25">
      <c r="A11" s="23"/>
      <c r="B11" s="16"/>
      <c r="C11" s="72"/>
      <c r="D11" s="16"/>
      <c r="E11" s="72"/>
    </row>
    <row r="12" spans="1:5" ht="23.25">
      <c r="A12" s="23"/>
      <c r="B12" s="16"/>
      <c r="C12" s="72"/>
      <c r="D12" s="16"/>
      <c r="E12" s="72"/>
    </row>
    <row r="13" spans="1:5" ht="23.25">
      <c r="A13" s="23"/>
      <c r="B13" s="16"/>
      <c r="C13" s="72"/>
      <c r="D13" s="16"/>
      <c r="E13" s="72"/>
    </row>
    <row r="14" spans="1:5" ht="23.25">
      <c r="A14" s="23"/>
      <c r="B14" s="16"/>
      <c r="C14" s="72"/>
      <c r="D14" s="16"/>
      <c r="E14" s="72"/>
    </row>
    <row r="15" spans="1:5" ht="23.25">
      <c r="A15" s="23"/>
      <c r="B15" s="16"/>
      <c r="C15" s="72"/>
      <c r="D15" s="16"/>
      <c r="E15" s="72"/>
    </row>
    <row r="16" spans="1:5" ht="24" thickBot="1">
      <c r="A16" s="657" t="s">
        <v>4</v>
      </c>
      <c r="B16" s="658"/>
      <c r="C16" s="73">
        <f>SUM(C7:C8)</f>
        <v>8680323</v>
      </c>
      <c r="D16" s="236"/>
      <c r="E16" s="73">
        <f>SUM(E7:E15)</f>
        <v>8680323</v>
      </c>
    </row>
    <row r="17" ht="24" thickTop="1"/>
  </sheetData>
  <sheetProtection/>
  <mergeCells count="7">
    <mergeCell ref="A16:B16"/>
    <mergeCell ref="A1:E1"/>
    <mergeCell ref="A2:E2"/>
    <mergeCell ref="A3:E3"/>
    <mergeCell ref="A4:B5"/>
    <mergeCell ref="C4:C5"/>
    <mergeCell ref="D4:E4"/>
  </mergeCells>
  <printOptions/>
  <pageMargins left="0.75" right="0.6" top="0.73" bottom="1" header="0.5" footer="0.5"/>
  <pageSetup horizontalDpi="600" verticalDpi="600" orientation="portrait" paperSize="9" r:id="rId1"/>
  <headerFooter alignWithMargins="0">
    <oddHeader>&amp;Rหมายเหตุ 1.1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D16" sqref="D16"/>
    </sheetView>
  </sheetViews>
  <sheetFormatPr defaultColWidth="9.140625" defaultRowHeight="23.25"/>
  <cols>
    <col min="1" max="2" width="3.28125" style="67" customWidth="1"/>
    <col min="3" max="3" width="27.57421875" style="67" customWidth="1"/>
    <col min="4" max="4" width="17.28125" style="84" customWidth="1"/>
    <col min="5" max="5" width="28.28125" style="67" customWidth="1"/>
    <col min="6" max="6" width="16.57421875" style="84" customWidth="1"/>
    <col min="7" max="16384" width="9.140625" style="67" customWidth="1"/>
  </cols>
  <sheetData>
    <row r="2" spans="1:6" ht="23.25">
      <c r="A2" s="650" t="s">
        <v>560</v>
      </c>
      <c r="B2" s="650"/>
      <c r="C2" s="650"/>
      <c r="D2" s="650"/>
      <c r="E2" s="650"/>
      <c r="F2" s="650"/>
    </row>
    <row r="3" spans="1:6" ht="23.25">
      <c r="A3" s="650" t="s">
        <v>34</v>
      </c>
      <c r="B3" s="650"/>
      <c r="C3" s="650"/>
      <c r="D3" s="650"/>
      <c r="E3" s="650"/>
      <c r="F3" s="650"/>
    </row>
    <row r="4" spans="1:6" ht="23.25">
      <c r="A4" s="658" t="s">
        <v>586</v>
      </c>
      <c r="B4" s="658"/>
      <c r="C4" s="658"/>
      <c r="D4" s="658"/>
      <c r="E4" s="658"/>
      <c r="F4" s="658"/>
    </row>
    <row r="5" spans="1:6" ht="23.25">
      <c r="A5" s="659" t="s">
        <v>38</v>
      </c>
      <c r="B5" s="666"/>
      <c r="C5" s="667"/>
      <c r="D5" s="671" t="s">
        <v>56</v>
      </c>
      <c r="E5" s="673" t="s">
        <v>57</v>
      </c>
      <c r="F5" s="674"/>
    </row>
    <row r="6" spans="1:6" ht="23.25">
      <c r="A6" s="668"/>
      <c r="B6" s="669"/>
      <c r="C6" s="670"/>
      <c r="D6" s="672"/>
      <c r="E6" s="51" t="s">
        <v>58</v>
      </c>
      <c r="F6" s="180" t="s">
        <v>28</v>
      </c>
    </row>
    <row r="7" spans="1:6" ht="23.25">
      <c r="A7" s="23" t="s">
        <v>64</v>
      </c>
      <c r="B7" s="67" t="s">
        <v>65</v>
      </c>
      <c r="D7" s="181"/>
      <c r="E7" s="71" t="s">
        <v>3</v>
      </c>
      <c r="F7" s="181" t="s">
        <v>3</v>
      </c>
    </row>
    <row r="8" spans="1:6" ht="23.25">
      <c r="A8" s="23"/>
      <c r="B8" s="67">
        <f>กระดาษงบทรัพย์สิน!B7</f>
        <v>1</v>
      </c>
      <c r="C8" s="67" t="str">
        <f>กระดาษงบทรัพย์สิน!C7</f>
        <v>อาคารสำนักงาน</v>
      </c>
      <c r="D8" s="181">
        <f>กระดาษงบทรัพย์สิน!G7</f>
        <v>3892483</v>
      </c>
      <c r="E8" s="67" t="str">
        <f>กระดาษงบทรัพย์สิน!C26</f>
        <v>รายได้เทศบาล</v>
      </c>
      <c r="F8" s="181">
        <f>กระดาษงบทรัพย์สิน!G26</f>
        <v>8690845</v>
      </c>
    </row>
    <row r="9" spans="1:6" ht="23.25">
      <c r="A9" s="23"/>
      <c r="B9" s="67">
        <f>กระดาษงบทรัพย์สิน!B8</f>
        <v>2</v>
      </c>
      <c r="C9" s="67" t="str">
        <f>กระดาษงบทรัพย์สิน!C8</f>
        <v>โรงจอดรถ</v>
      </c>
      <c r="D9" s="181">
        <f>กระดาษงบทรัพย์สิน!G8</f>
        <v>136000</v>
      </c>
      <c r="E9" s="67" t="s">
        <v>701</v>
      </c>
      <c r="F9" s="181">
        <v>47000</v>
      </c>
    </row>
    <row r="10" spans="1:6" ht="23.25">
      <c r="A10" s="23"/>
      <c r="B10" s="67">
        <f>กระดาษงบทรัพย์สิน!B9</f>
        <v>3</v>
      </c>
      <c r="C10" s="67" t="str">
        <f>กระดาษงบทรัพย์สิน!C9</f>
        <v>ป้อมยาม</v>
      </c>
      <c r="D10" s="181">
        <f>กระดาษงบทรัพย์สิน!G9</f>
        <v>170000</v>
      </c>
      <c r="F10" s="181"/>
    </row>
    <row r="11" spans="1:6" ht="23.25">
      <c r="A11" s="23"/>
      <c r="D11" s="181"/>
      <c r="F11" s="181"/>
    </row>
    <row r="12" spans="1:6" ht="23.25">
      <c r="A12" s="23" t="s">
        <v>66</v>
      </c>
      <c r="B12" s="67" t="str">
        <f>กระดาษงบทรัพย์สิน!B10</f>
        <v>สังหาริมทรัพย์</v>
      </c>
      <c r="D12" s="181"/>
      <c r="F12" s="181"/>
    </row>
    <row r="13" spans="1:6" ht="23.25">
      <c r="A13" s="23"/>
      <c r="B13" s="67">
        <f>กระดาษงบทรัพย์สิน!B11</f>
        <v>1</v>
      </c>
      <c r="C13" s="67" t="str">
        <f>กระดาษงบทรัพย์สิน!C11</f>
        <v>ครุภัณฑ์สำนักงาน</v>
      </c>
      <c r="D13" s="181">
        <f>กระดาษงบทรัพย์สิน!G11</f>
        <v>1474722</v>
      </c>
      <c r="F13" s="181"/>
    </row>
    <row r="14" spans="1:6" ht="23.25">
      <c r="A14" s="23"/>
      <c r="B14" s="67">
        <f>กระดาษงบทรัพย์สิน!B12</f>
        <v>2</v>
      </c>
      <c r="C14" s="67" t="str">
        <f>กระดาษงบทรัพย์สิน!C12</f>
        <v>ครุภัณฑ์คอมพิวเตอร์</v>
      </c>
      <c r="D14" s="181">
        <f>กระดาษงบทรัพย์สิน!G12</f>
        <v>382700</v>
      </c>
      <c r="F14" s="181"/>
    </row>
    <row r="15" spans="1:6" ht="23.25">
      <c r="A15" s="23"/>
      <c r="B15" s="67">
        <f>กระดาษงบทรัพย์สิน!B13</f>
        <v>3</v>
      </c>
      <c r="C15" s="67" t="str">
        <f>กระดาษงบทรัพย์สิน!C13</f>
        <v>ครุภัณฑ์ไฟฟ้าและวิทยุ</v>
      </c>
      <c r="D15" s="181">
        <f>กระดาษงบทรัพย์สิน!G13</f>
        <v>1271080</v>
      </c>
      <c r="F15" s="181"/>
    </row>
    <row r="16" spans="1:6" ht="23.25">
      <c r="A16" s="23"/>
      <c r="B16" s="67">
        <f>กระดาษงบทรัพย์สิน!B14</f>
        <v>4</v>
      </c>
      <c r="C16" s="67" t="str">
        <f>กระดาษงบทรัพย์สิน!C14</f>
        <v>ครุภัณฑ์โรงงาน</v>
      </c>
      <c r="D16" s="181">
        <f>กระดาษงบทรัพย์สิน!G14</f>
        <v>15950</v>
      </c>
      <c r="E16" s="82"/>
      <c r="F16" s="181"/>
    </row>
    <row r="17" spans="1:6" ht="23.25">
      <c r="A17" s="23"/>
      <c r="B17" s="67">
        <f>กระดาษงบทรัพย์สิน!B15</f>
        <v>5</v>
      </c>
      <c r="C17" s="67" t="str">
        <f>กระดาษงบทรัพย์สิน!C15</f>
        <v>ครุภัณฑ์ยานพาหนะและขนส่ง</v>
      </c>
      <c r="D17" s="181">
        <f>กระดาษงบทรัพย์สิน!G15</f>
        <v>600000</v>
      </c>
      <c r="E17" s="71"/>
      <c r="F17" s="181"/>
    </row>
    <row r="18" spans="1:6" ht="23.25">
      <c r="A18" s="23"/>
      <c r="B18" s="67">
        <f>กระดาษงบทรัพย์สิน!B16</f>
        <v>6</v>
      </c>
      <c r="C18" s="67" t="str">
        <f>กระดาษงบทรัพย์สิน!C16</f>
        <v>ครุภัณฑ์โฆษณาและเผยแพร่</v>
      </c>
      <c r="D18" s="181">
        <f>กระดาษงบทรัพย์สิน!G16</f>
        <v>313720</v>
      </c>
      <c r="E18" s="71"/>
      <c r="F18" s="181"/>
    </row>
    <row r="19" spans="1:6" ht="23.25">
      <c r="A19" s="23"/>
      <c r="B19" s="67">
        <f>กระดาษงบทรัพย์สิน!B17</f>
        <v>7</v>
      </c>
      <c r="C19" s="67" t="str">
        <f>กระดาษงบทรัพย์สิน!C17</f>
        <v>ครุภัณฑ์ดับเพลิง</v>
      </c>
      <c r="D19" s="181">
        <f>กระดาษงบทรัพย์สิน!G17</f>
        <v>10500</v>
      </c>
      <c r="E19" s="71"/>
      <c r="F19" s="181"/>
    </row>
    <row r="20" spans="1:6" ht="23.25">
      <c r="A20" s="23"/>
      <c r="B20" s="67">
        <f>กระดาษงบทรัพย์สิน!B18</f>
        <v>8</v>
      </c>
      <c r="C20" s="67" t="str">
        <f>กระดาษงบทรัพย์สิน!C18</f>
        <v>ครุภัณฑ์สำรวจ</v>
      </c>
      <c r="D20" s="181">
        <f>กระดาษงบทรัพย์สิน!G18</f>
        <v>37000</v>
      </c>
      <c r="E20" s="71"/>
      <c r="F20" s="181"/>
    </row>
    <row r="21" spans="1:6" ht="23.25">
      <c r="A21" s="23"/>
      <c r="B21" s="67">
        <f>กระดาษงบทรัพย์สิน!B19</f>
        <v>9</v>
      </c>
      <c r="C21" s="67" t="str">
        <f>กระดาษงบทรัพย์สิน!C19</f>
        <v>ครุภัณฑ์งานบ้านงานครัว</v>
      </c>
      <c r="D21" s="181">
        <f>กระดาษงบทรัพย์สิน!G19</f>
        <v>103150</v>
      </c>
      <c r="E21" s="71"/>
      <c r="F21" s="181"/>
    </row>
    <row r="22" spans="1:6" ht="23.25">
      <c r="A22" s="23"/>
      <c r="B22" s="67">
        <f>กระดาษงบทรัพย์สิน!B20</f>
        <v>10</v>
      </c>
      <c r="C22" s="67" t="str">
        <f>กระดาษงบทรัพย์สิน!C20</f>
        <v>ครุภัณฑ์ก่อสร้าง</v>
      </c>
      <c r="D22" s="181">
        <f>กระดาษงบทรัพย์สิน!G20</f>
        <v>69865</v>
      </c>
      <c r="E22" s="71"/>
      <c r="F22" s="181"/>
    </row>
    <row r="23" spans="1:6" ht="23.25">
      <c r="A23" s="23"/>
      <c r="B23" s="67">
        <f>กระดาษงบทรัพย์สิน!B21</f>
        <v>11</v>
      </c>
      <c r="C23" s="67" t="str">
        <f>กระดาษงบทรัพย์สิน!C21</f>
        <v>ครุภัณฑ์การเกษตร</v>
      </c>
      <c r="D23" s="181">
        <f>กระดาษงบทรัพย์สิน!G21</f>
        <v>17925</v>
      </c>
      <c r="E23" s="71"/>
      <c r="F23" s="181"/>
    </row>
    <row r="24" spans="1:6" ht="23.25">
      <c r="A24" s="23"/>
      <c r="B24" s="67">
        <f>กระดาษงบทรัพย์สิน!B22</f>
        <v>12</v>
      </c>
      <c r="C24" s="67" t="str">
        <f>กระดาษงบทรัพย์สิน!C22</f>
        <v>ครุภัณฑ์การศึกษา</v>
      </c>
      <c r="D24" s="181">
        <f>กระดาษงบทรัพย์สิน!G22</f>
        <v>88200</v>
      </c>
      <c r="E24" s="71"/>
      <c r="F24" s="181"/>
    </row>
    <row r="25" spans="1:6" ht="23.25">
      <c r="A25" s="23"/>
      <c r="B25" s="67">
        <f>กระดาษงบทรัพย์สิน!B23</f>
        <v>13</v>
      </c>
      <c r="C25" s="67" t="str">
        <f>กระดาษงบทรัพย์สิน!C23</f>
        <v>ครุภัณฑ์อื่นๆ</v>
      </c>
      <c r="D25" s="181">
        <f>กระดาษงบทรัพย์สิน!G23</f>
        <v>154550</v>
      </c>
      <c r="E25" s="71"/>
      <c r="F25" s="181"/>
    </row>
    <row r="26" spans="1:6" ht="23.25">
      <c r="A26" s="23"/>
      <c r="D26" s="181"/>
      <c r="E26" s="71"/>
      <c r="F26" s="181"/>
    </row>
    <row r="27" spans="1:6" s="16" customFormat="1" ht="24" thickBot="1">
      <c r="A27" s="182"/>
      <c r="B27" s="183"/>
      <c r="C27" s="184" t="s">
        <v>4</v>
      </c>
      <c r="D27" s="234">
        <f>SUM(D8:D25)</f>
        <v>8737845</v>
      </c>
      <c r="E27" s="185" t="s">
        <v>3</v>
      </c>
      <c r="F27" s="234">
        <f>SUM(F8:F24)</f>
        <v>8737845</v>
      </c>
    </row>
    <row r="28" spans="1:6" ht="24" thickTop="1">
      <c r="A28" s="16"/>
      <c r="B28" s="16"/>
      <c r="C28" s="16"/>
      <c r="D28" s="100"/>
      <c r="E28" s="16"/>
      <c r="F28" s="100"/>
    </row>
    <row r="29" spans="1:6" ht="23.25">
      <c r="A29" s="16"/>
      <c r="B29" s="16"/>
      <c r="C29" s="186" t="s">
        <v>3</v>
      </c>
      <c r="D29" s="100"/>
      <c r="E29" s="16"/>
      <c r="F29" s="100"/>
    </row>
    <row r="30" spans="1:6" ht="23.25">
      <c r="A30" s="16"/>
      <c r="B30" s="16"/>
      <c r="C30" s="584" t="s">
        <v>578</v>
      </c>
      <c r="D30" s="585" t="s">
        <v>579</v>
      </c>
      <c r="E30" s="16"/>
      <c r="F30" s="100"/>
    </row>
    <row r="31" spans="3:4" ht="23.25">
      <c r="C31" s="82" t="s">
        <v>576</v>
      </c>
      <c r="D31" s="84" t="s">
        <v>580</v>
      </c>
    </row>
    <row r="32" spans="3:4" ht="23.25">
      <c r="C32" s="82" t="s">
        <v>577</v>
      </c>
      <c r="D32" s="84" t="s">
        <v>581</v>
      </c>
    </row>
  </sheetData>
  <sheetProtection/>
  <mergeCells count="6">
    <mergeCell ref="A2:F2"/>
    <mergeCell ref="A3:F3"/>
    <mergeCell ref="A4:F4"/>
    <mergeCell ref="A5:C6"/>
    <mergeCell ref="D5:D6"/>
    <mergeCell ref="E5:F5"/>
  </mergeCells>
  <printOptions/>
  <pageMargins left="0.77" right="0.27" top="0.39" bottom="0.25" header="0.27" footer="0.2"/>
  <pageSetup horizontalDpi="600" verticalDpi="600" orientation="portrait" paperSize="9" r:id="rId1"/>
  <headerFooter alignWithMargins="0">
    <oddHeader>&amp;Rหมายเหตุ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23.25"/>
  <cols>
    <col min="1" max="2" width="3.28125" style="106" customWidth="1"/>
    <col min="3" max="3" width="31.00390625" style="106" customWidth="1"/>
    <col min="4" max="4" width="13.8515625" style="175" bestFit="1" customWidth="1"/>
    <col min="5" max="5" width="13.8515625" style="176" bestFit="1" customWidth="1"/>
    <col min="6" max="6" width="12.8515625" style="175" customWidth="1"/>
    <col min="7" max="7" width="15.8515625" style="175" customWidth="1"/>
    <col min="8" max="8" width="14.8515625" style="150" customWidth="1"/>
    <col min="9" max="9" width="11.7109375" style="106" customWidth="1"/>
    <col min="10" max="11" width="9.140625" style="106" customWidth="1"/>
    <col min="12" max="12" width="9.8515625" style="106" bestFit="1" customWidth="1"/>
    <col min="13" max="16384" width="9.140625" style="106" customWidth="1"/>
  </cols>
  <sheetData>
    <row r="1" spans="1:8" ht="21">
      <c r="A1" s="675" t="s">
        <v>559</v>
      </c>
      <c r="B1" s="675"/>
      <c r="C1" s="675"/>
      <c r="D1" s="675"/>
      <c r="E1" s="675"/>
      <c r="F1" s="675"/>
      <c r="G1" s="675"/>
      <c r="H1" s="148"/>
    </row>
    <row r="2" spans="1:8" ht="21">
      <c r="A2" s="675" t="s">
        <v>63</v>
      </c>
      <c r="B2" s="675"/>
      <c r="C2" s="675"/>
      <c r="D2" s="675"/>
      <c r="E2" s="675"/>
      <c r="F2" s="675"/>
      <c r="G2" s="675"/>
      <c r="H2" s="148"/>
    </row>
    <row r="3" spans="1:9" ht="21">
      <c r="A3" s="676" t="s">
        <v>592</v>
      </c>
      <c r="B3" s="676"/>
      <c r="C3" s="676"/>
      <c r="D3" s="676"/>
      <c r="E3" s="676"/>
      <c r="F3" s="676"/>
      <c r="G3" s="676"/>
      <c r="H3" s="149"/>
      <c r="I3" s="150"/>
    </row>
    <row r="4" spans="1:8" ht="21">
      <c r="A4" s="151"/>
      <c r="B4" s="152"/>
      <c r="C4" s="677" t="s">
        <v>38</v>
      </c>
      <c r="D4" s="153" t="s">
        <v>32</v>
      </c>
      <c r="E4" s="154" t="s">
        <v>39</v>
      </c>
      <c r="F4" s="153" t="s">
        <v>40</v>
      </c>
      <c r="G4" s="153" t="s">
        <v>132</v>
      </c>
      <c r="H4" s="155"/>
    </row>
    <row r="5" spans="1:8" ht="21">
      <c r="A5" s="156"/>
      <c r="B5" s="157"/>
      <c r="C5" s="678"/>
      <c r="D5" s="158" t="s">
        <v>2</v>
      </c>
      <c r="E5" s="159" t="s">
        <v>133</v>
      </c>
      <c r="F5" s="158" t="s">
        <v>133</v>
      </c>
      <c r="G5" s="158" t="s">
        <v>593</v>
      </c>
      <c r="H5" s="155"/>
    </row>
    <row r="6" spans="1:8" ht="21">
      <c r="A6" s="160" t="s">
        <v>64</v>
      </c>
      <c r="B6" s="106" t="s">
        <v>65</v>
      </c>
      <c r="D6" s="161" t="s">
        <v>3</v>
      </c>
      <c r="E6" s="162"/>
      <c r="F6" s="161"/>
      <c r="G6" s="161"/>
      <c r="H6" s="163"/>
    </row>
    <row r="7" spans="1:8" ht="21">
      <c r="A7" s="160"/>
      <c r="B7" s="106">
        <v>1</v>
      </c>
      <c r="C7" s="106" t="s">
        <v>350</v>
      </c>
      <c r="D7" s="161">
        <f>2988000+146483+758000</f>
        <v>3892483</v>
      </c>
      <c r="E7" s="162"/>
      <c r="F7" s="161"/>
      <c r="G7" s="161">
        <f aca="true" t="shared" si="0" ref="G7:G24">D7+E7-F7</f>
        <v>3892483</v>
      </c>
      <c r="H7" s="163"/>
    </row>
    <row r="8" spans="1:8" ht="21">
      <c r="A8" s="160"/>
      <c r="B8" s="106">
        <v>2</v>
      </c>
      <c r="C8" s="106" t="s">
        <v>467</v>
      </c>
      <c r="D8" s="161">
        <v>136000</v>
      </c>
      <c r="E8" s="162"/>
      <c r="F8" s="161"/>
      <c r="G8" s="161">
        <f t="shared" si="0"/>
        <v>136000</v>
      </c>
      <c r="H8" s="163"/>
    </row>
    <row r="9" spans="1:8" ht="21">
      <c r="A9" s="160"/>
      <c r="B9" s="106">
        <v>3</v>
      </c>
      <c r="C9" s="106" t="s">
        <v>468</v>
      </c>
      <c r="D9" s="161">
        <v>170000</v>
      </c>
      <c r="E9" s="162"/>
      <c r="F9" s="161"/>
      <c r="G9" s="161">
        <f t="shared" si="0"/>
        <v>170000</v>
      </c>
      <c r="H9" s="163"/>
    </row>
    <row r="10" spans="1:8" ht="21">
      <c r="A10" s="160" t="s">
        <v>66</v>
      </c>
      <c r="B10" s="106" t="s">
        <v>67</v>
      </c>
      <c r="D10" s="161"/>
      <c r="E10" s="162"/>
      <c r="F10" s="161"/>
      <c r="G10" s="161"/>
      <c r="H10" s="163"/>
    </row>
    <row r="11" spans="1:9" ht="21">
      <c r="A11" s="160"/>
      <c r="B11" s="106">
        <v>1</v>
      </c>
      <c r="C11" s="106" t="s">
        <v>369</v>
      </c>
      <c r="D11" s="161">
        <v>1457192</v>
      </c>
      <c r="E11" s="162">
        <v>62300</v>
      </c>
      <c r="F11" s="161">
        <v>44770</v>
      </c>
      <c r="G11" s="161">
        <f t="shared" si="0"/>
        <v>1474722</v>
      </c>
      <c r="H11" s="163"/>
      <c r="I11" s="150"/>
    </row>
    <row r="12" spans="1:10" ht="21">
      <c r="A12" s="160"/>
      <c r="B12" s="106">
        <v>2</v>
      </c>
      <c r="C12" s="106" t="s">
        <v>370</v>
      </c>
      <c r="D12" s="162">
        <v>330700</v>
      </c>
      <c r="E12" s="162">
        <v>52000</v>
      </c>
      <c r="F12" s="162"/>
      <c r="G12" s="161">
        <f t="shared" si="0"/>
        <v>382700</v>
      </c>
      <c r="H12" s="163"/>
      <c r="J12" s="164"/>
    </row>
    <row r="13" spans="1:10" ht="21">
      <c r="A13" s="160"/>
      <c r="B13" s="106">
        <v>3</v>
      </c>
      <c r="C13" s="106" t="s">
        <v>371</v>
      </c>
      <c r="D13" s="161">
        <v>1277580</v>
      </c>
      <c r="E13" s="162"/>
      <c r="F13" s="161">
        <v>6500</v>
      </c>
      <c r="G13" s="161">
        <f t="shared" si="0"/>
        <v>1271080</v>
      </c>
      <c r="H13" s="163"/>
      <c r="J13" s="164"/>
    </row>
    <row r="14" spans="1:10" ht="21">
      <c r="A14" s="160"/>
      <c r="B14" s="106">
        <v>4</v>
      </c>
      <c r="C14" s="106" t="s">
        <v>372</v>
      </c>
      <c r="D14" s="161">
        <v>19250</v>
      </c>
      <c r="E14" s="162"/>
      <c r="F14" s="161">
        <v>3300</v>
      </c>
      <c r="G14" s="161">
        <f t="shared" si="0"/>
        <v>15950</v>
      </c>
      <c r="H14" s="163"/>
      <c r="J14" s="164"/>
    </row>
    <row r="15" spans="1:10" ht="21">
      <c r="A15" s="160"/>
      <c r="B15" s="106">
        <v>5</v>
      </c>
      <c r="C15" s="106" t="s">
        <v>278</v>
      </c>
      <c r="D15" s="161">
        <v>600000</v>
      </c>
      <c r="E15" s="162"/>
      <c r="F15" s="161"/>
      <c r="G15" s="161">
        <f t="shared" si="0"/>
        <v>600000</v>
      </c>
      <c r="H15" s="163"/>
      <c r="J15" s="164"/>
    </row>
    <row r="16" spans="1:10" ht="21">
      <c r="A16" s="160"/>
      <c r="B16" s="106">
        <v>6</v>
      </c>
      <c r="C16" s="106" t="s">
        <v>373</v>
      </c>
      <c r="D16" s="161">
        <v>314590</v>
      </c>
      <c r="E16" s="162">
        <v>29000</v>
      </c>
      <c r="F16" s="161">
        <v>29870</v>
      </c>
      <c r="G16" s="161">
        <f t="shared" si="0"/>
        <v>313720</v>
      </c>
      <c r="H16" s="163"/>
      <c r="J16" s="164"/>
    </row>
    <row r="17" spans="1:10" ht="21">
      <c r="A17" s="160"/>
      <c r="B17" s="106">
        <v>7</v>
      </c>
      <c r="C17" s="106" t="s">
        <v>434</v>
      </c>
      <c r="D17" s="161">
        <v>10500</v>
      </c>
      <c r="E17" s="162"/>
      <c r="F17" s="161"/>
      <c r="G17" s="161">
        <f t="shared" si="0"/>
        <v>10500</v>
      </c>
      <c r="H17" s="163"/>
      <c r="J17" s="164"/>
    </row>
    <row r="18" spans="1:10" s="166" customFormat="1" ht="21">
      <c r="A18" s="160"/>
      <c r="B18" s="106">
        <v>8</v>
      </c>
      <c r="C18" s="106" t="s">
        <v>374</v>
      </c>
      <c r="D18" s="161">
        <v>37750</v>
      </c>
      <c r="E18" s="162"/>
      <c r="F18" s="162">
        <v>750</v>
      </c>
      <c r="G18" s="161">
        <f t="shared" si="0"/>
        <v>37000</v>
      </c>
      <c r="H18" s="165"/>
      <c r="J18" s="167"/>
    </row>
    <row r="19" spans="1:8" ht="21">
      <c r="A19" s="160"/>
      <c r="B19" s="106">
        <v>9</v>
      </c>
      <c r="C19" s="106" t="s">
        <v>375</v>
      </c>
      <c r="D19" s="161">
        <v>104500</v>
      </c>
      <c r="E19" s="162"/>
      <c r="F19" s="161">
        <v>1350</v>
      </c>
      <c r="G19" s="161">
        <f t="shared" si="0"/>
        <v>103150</v>
      </c>
      <c r="H19" s="163"/>
    </row>
    <row r="20" spans="1:8" ht="21">
      <c r="A20" s="160"/>
      <c r="B20" s="106">
        <v>10</v>
      </c>
      <c r="C20" s="106" t="s">
        <v>376</v>
      </c>
      <c r="D20" s="161">
        <v>69865</v>
      </c>
      <c r="E20" s="162"/>
      <c r="F20" s="161"/>
      <c r="G20" s="161">
        <f t="shared" si="0"/>
        <v>69865</v>
      </c>
      <c r="H20" s="163"/>
    </row>
    <row r="21" spans="1:8" ht="21">
      <c r="A21" s="160"/>
      <c r="B21" s="106">
        <v>11</v>
      </c>
      <c r="C21" s="106" t="s">
        <v>377</v>
      </c>
      <c r="D21" s="161">
        <v>8625</v>
      </c>
      <c r="E21" s="162">
        <v>9300</v>
      </c>
      <c r="F21" s="161"/>
      <c r="G21" s="161">
        <f t="shared" si="0"/>
        <v>17925</v>
      </c>
      <c r="H21" s="163"/>
    </row>
    <row r="22" spans="1:8" ht="21">
      <c r="A22" s="160"/>
      <c r="B22" s="106">
        <v>12</v>
      </c>
      <c r="C22" s="106" t="s">
        <v>379</v>
      </c>
      <c r="D22" s="161">
        <v>88200</v>
      </c>
      <c r="E22" s="162"/>
      <c r="F22" s="161"/>
      <c r="G22" s="161">
        <f t="shared" si="0"/>
        <v>88200</v>
      </c>
      <c r="H22" s="163"/>
    </row>
    <row r="23" spans="1:8" ht="21">
      <c r="A23" s="160"/>
      <c r="B23" s="106">
        <v>13</v>
      </c>
      <c r="C23" s="106" t="s">
        <v>378</v>
      </c>
      <c r="D23" s="161">
        <v>154550</v>
      </c>
      <c r="E23" s="162"/>
      <c r="F23" s="161"/>
      <c r="G23" s="161">
        <f t="shared" si="0"/>
        <v>154550</v>
      </c>
      <c r="H23" s="163"/>
    </row>
    <row r="24" spans="1:8" ht="21.75" thickBot="1">
      <c r="A24" s="160"/>
      <c r="C24" s="168" t="s">
        <v>4</v>
      </c>
      <c r="D24" s="169">
        <f>SUM(D7:D23)</f>
        <v>8671785</v>
      </c>
      <c r="E24" s="169">
        <f>SUM(E7:E23)</f>
        <v>152600</v>
      </c>
      <c r="F24" s="169">
        <f>SUM(F7:F23)</f>
        <v>86540</v>
      </c>
      <c r="G24" s="509">
        <f t="shared" si="0"/>
        <v>8737845</v>
      </c>
      <c r="H24" s="171"/>
    </row>
    <row r="25" spans="1:8" ht="21.75" thickTop="1">
      <c r="A25" s="160"/>
      <c r="C25" s="172" t="s">
        <v>68</v>
      </c>
      <c r="D25" s="161"/>
      <c r="E25" s="162"/>
      <c r="F25" s="161"/>
      <c r="G25" s="161"/>
      <c r="H25" s="163"/>
    </row>
    <row r="26" spans="1:8" ht="21">
      <c r="A26" s="160"/>
      <c r="B26" s="106">
        <v>1</v>
      </c>
      <c r="C26" s="106" t="s">
        <v>351</v>
      </c>
      <c r="D26" s="161">
        <v>8624785</v>
      </c>
      <c r="E26" s="162">
        <v>152600</v>
      </c>
      <c r="F26" s="161">
        <v>86540</v>
      </c>
      <c r="G26" s="161">
        <f>D26+E26-F26</f>
        <v>8690845</v>
      </c>
      <c r="H26" s="163"/>
    </row>
    <row r="27" spans="1:8" ht="21">
      <c r="A27" s="160"/>
      <c r="B27" s="106">
        <v>2</v>
      </c>
      <c r="C27" s="106" t="s">
        <v>380</v>
      </c>
      <c r="D27" s="161">
        <v>47000</v>
      </c>
      <c r="E27" s="162"/>
      <c r="F27" s="161"/>
      <c r="G27" s="161">
        <f>D27+E27-F27</f>
        <v>47000</v>
      </c>
      <c r="H27" s="163"/>
    </row>
    <row r="28" spans="1:8" ht="21.75" thickBot="1">
      <c r="A28" s="156"/>
      <c r="B28" s="157"/>
      <c r="C28" s="173" t="s">
        <v>4</v>
      </c>
      <c r="D28" s="169">
        <f>SUM(D26:D27)</f>
        <v>8671785</v>
      </c>
      <c r="E28" s="170">
        <f>SUM(E26:E27)</f>
        <v>152600</v>
      </c>
      <c r="F28" s="169">
        <f>SUM(F26:F27)</f>
        <v>86540</v>
      </c>
      <c r="G28" s="169">
        <f>SUM(G26:G27)</f>
        <v>8737845</v>
      </c>
      <c r="H28" s="171"/>
    </row>
    <row r="29" ht="21.75" thickTop="1">
      <c r="A29" s="174"/>
    </row>
    <row r="30" ht="21">
      <c r="A30" s="174"/>
    </row>
    <row r="31" spans="5:7" ht="21">
      <c r="E31" s="177"/>
      <c r="F31" s="178"/>
      <c r="G31" s="175" t="s">
        <v>42</v>
      </c>
    </row>
    <row r="33" spans="5:10" ht="21">
      <c r="E33" s="177"/>
      <c r="F33" s="178"/>
      <c r="G33" s="175" t="s">
        <v>78</v>
      </c>
      <c r="J33" s="164"/>
    </row>
    <row r="54" ht="21">
      <c r="J54" s="164"/>
    </row>
    <row r="67" ht="21">
      <c r="J67" s="164"/>
    </row>
    <row r="68" ht="21">
      <c r="J68" s="164"/>
    </row>
    <row r="69" ht="21">
      <c r="J69" s="164"/>
    </row>
    <row r="74" ht="21">
      <c r="J74" s="164"/>
    </row>
    <row r="106" ht="21">
      <c r="J106" s="164"/>
    </row>
    <row r="107" ht="21">
      <c r="J107" s="164"/>
    </row>
    <row r="108" ht="21">
      <c r="J108" s="164"/>
    </row>
    <row r="109" ht="21">
      <c r="J109" s="164"/>
    </row>
  </sheetData>
  <sheetProtection/>
  <mergeCells count="4">
    <mergeCell ref="A1:G1"/>
    <mergeCell ref="A2:G2"/>
    <mergeCell ref="A3:G3"/>
    <mergeCell ref="C4:C5"/>
  </mergeCells>
  <printOptions/>
  <pageMargins left="0.7480314960629921" right="0.35433070866141736" top="0.5511811023622047" bottom="0.2362204724409449" header="0.5118110236220472" footer="0.3937007874015748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2" sqref="E12"/>
    </sheetView>
  </sheetViews>
  <sheetFormatPr defaultColWidth="9.140625" defaultRowHeight="23.25"/>
  <cols>
    <col min="1" max="1" width="6.8515625" style="0" customWidth="1"/>
    <col min="3" max="3" width="34.140625" style="0" customWidth="1"/>
    <col min="4" max="4" width="18.28125" style="0" bestFit="1" customWidth="1"/>
    <col min="5" max="5" width="15.00390625" style="0" customWidth="1"/>
    <col min="6" max="6" width="15.28125" style="0" customWidth="1"/>
    <col min="7" max="7" width="13.140625" style="0" customWidth="1"/>
    <col min="8" max="8" width="18.421875" style="0" customWidth="1"/>
    <col min="9" max="9" width="12.8515625" style="0" bestFit="1" customWidth="1"/>
  </cols>
  <sheetData>
    <row r="1" spans="1:9" ht="23.25">
      <c r="A1" s="679" t="s">
        <v>209</v>
      </c>
      <c r="B1" s="679"/>
      <c r="C1" s="679"/>
      <c r="D1" s="679"/>
      <c r="E1" s="679"/>
      <c r="F1" s="679"/>
      <c r="G1" s="679"/>
      <c r="H1" s="679"/>
      <c r="I1" s="679"/>
    </row>
    <row r="2" spans="1:9" ht="23.25">
      <c r="A2" s="679" t="s">
        <v>263</v>
      </c>
      <c r="B2" s="679"/>
      <c r="C2" s="679"/>
      <c r="D2" s="679"/>
      <c r="E2" s="679"/>
      <c r="F2" s="679"/>
      <c r="G2" s="679"/>
      <c r="H2" s="679"/>
      <c r="I2" s="679"/>
    </row>
    <row r="3" spans="1:9" ht="23.25">
      <c r="A3" s="679" t="s">
        <v>264</v>
      </c>
      <c r="B3" s="679"/>
      <c r="C3" s="679"/>
      <c r="D3" s="679"/>
      <c r="E3" s="679"/>
      <c r="F3" s="679"/>
      <c r="G3" s="679"/>
      <c r="H3" s="679"/>
      <c r="I3" s="679"/>
    </row>
    <row r="5" spans="1:9" s="9" customFormat="1" ht="33" customHeight="1">
      <c r="A5" s="680" t="s">
        <v>159</v>
      </c>
      <c r="B5" s="681"/>
      <c r="C5" s="682"/>
      <c r="D5" s="109" t="s">
        <v>160</v>
      </c>
      <c r="E5" s="110" t="s">
        <v>161</v>
      </c>
      <c r="F5" s="108" t="s">
        <v>162</v>
      </c>
      <c r="G5" s="108" t="s">
        <v>163</v>
      </c>
      <c r="H5" s="108" t="s">
        <v>164</v>
      </c>
      <c r="I5" s="108" t="s">
        <v>165</v>
      </c>
    </row>
    <row r="6" spans="1:9" s="9" customFormat="1" ht="23.25">
      <c r="A6" s="117" t="s">
        <v>261</v>
      </c>
      <c r="B6" s="116"/>
      <c r="C6" s="111"/>
      <c r="E6" s="13"/>
      <c r="F6" s="112"/>
      <c r="G6" s="112"/>
      <c r="H6" s="112"/>
      <c r="I6" s="112"/>
    </row>
    <row r="7" spans="1:9" s="9" customFormat="1" ht="23.25">
      <c r="A7" s="117"/>
      <c r="B7" s="11" t="s">
        <v>265</v>
      </c>
      <c r="C7" s="111"/>
      <c r="D7" s="113" t="s">
        <v>169</v>
      </c>
      <c r="E7" s="14">
        <v>3564900.77</v>
      </c>
      <c r="F7" s="114">
        <v>484247.15</v>
      </c>
      <c r="G7" s="114">
        <v>60784.13</v>
      </c>
      <c r="H7" s="127">
        <f>E7-F7</f>
        <v>3080653.62</v>
      </c>
      <c r="I7" s="115" t="s">
        <v>170</v>
      </c>
    </row>
    <row r="8" spans="1:9" s="9" customFormat="1" ht="23.25">
      <c r="A8" s="10" t="s">
        <v>171</v>
      </c>
      <c r="B8" s="116"/>
      <c r="C8" s="111"/>
      <c r="D8" s="113" t="s">
        <v>172</v>
      </c>
      <c r="E8" s="13"/>
      <c r="F8" s="112"/>
      <c r="G8" s="112"/>
      <c r="H8" s="112"/>
      <c r="I8" s="112"/>
    </row>
    <row r="9" spans="1:9" s="9" customFormat="1" ht="21.75" customHeight="1">
      <c r="A9" s="117"/>
      <c r="B9" s="116"/>
      <c r="C9" s="111"/>
      <c r="D9" s="118"/>
      <c r="E9" s="119"/>
      <c r="F9" s="120"/>
      <c r="G9" s="120"/>
      <c r="H9" s="120"/>
      <c r="I9" s="121"/>
    </row>
    <row r="10" spans="1:9" s="9" customFormat="1" ht="23.25">
      <c r="A10" s="10"/>
      <c r="B10" s="11" t="s">
        <v>266</v>
      </c>
      <c r="C10" s="112"/>
      <c r="D10" s="113" t="s">
        <v>268</v>
      </c>
      <c r="E10" s="14">
        <v>3708000</v>
      </c>
      <c r="F10" s="114">
        <v>0</v>
      </c>
      <c r="G10" s="114">
        <v>25756.17</v>
      </c>
      <c r="H10" s="127">
        <f>E10-F10</f>
        <v>3708000</v>
      </c>
      <c r="I10" s="115" t="s">
        <v>270</v>
      </c>
    </row>
    <row r="11" spans="1:9" s="9" customFormat="1" ht="23.25">
      <c r="A11" s="10" t="s">
        <v>267</v>
      </c>
      <c r="B11" s="11"/>
      <c r="C11" s="112"/>
      <c r="D11" s="113" t="s">
        <v>269</v>
      </c>
      <c r="E11" s="13"/>
      <c r="F11" s="112"/>
      <c r="G11" s="112"/>
      <c r="H11" s="112"/>
      <c r="I11" s="112"/>
    </row>
    <row r="12" spans="1:9" s="9" customFormat="1" ht="23.25">
      <c r="A12" s="117"/>
      <c r="B12" s="116"/>
      <c r="C12" s="111"/>
      <c r="D12" s="13"/>
      <c r="E12" s="13"/>
      <c r="F12" s="112"/>
      <c r="G12" s="112"/>
      <c r="H12" s="112"/>
      <c r="I12" s="112"/>
    </row>
    <row r="13" spans="1:9" s="9" customFormat="1" ht="23.25">
      <c r="A13" s="122"/>
      <c r="B13" s="123"/>
      <c r="C13" s="124"/>
      <c r="D13" s="13"/>
      <c r="E13" s="13"/>
      <c r="F13" s="112"/>
      <c r="G13" s="112"/>
      <c r="H13" s="112"/>
      <c r="I13" s="112"/>
    </row>
    <row r="14" spans="1:9" s="9" customFormat="1" ht="30" customHeight="1" thickBot="1">
      <c r="A14" s="122" t="s">
        <v>166</v>
      </c>
      <c r="B14" s="123"/>
      <c r="C14" s="124"/>
      <c r="D14" s="125"/>
      <c r="E14" s="15">
        <f>SUM(E6:E13)</f>
        <v>7272900.77</v>
      </c>
      <c r="F14" s="15">
        <f>SUM(F6:F13)</f>
        <v>484247.15</v>
      </c>
      <c r="G14" s="15">
        <f>SUM(G6:G13)</f>
        <v>86540.29999999999</v>
      </c>
      <c r="H14" s="15">
        <f>SUM(H6:H13)</f>
        <v>6788653.62</v>
      </c>
      <c r="I14" s="126"/>
    </row>
    <row r="15" ht="24" thickTop="1"/>
    <row r="16" ht="23.25">
      <c r="I16" t="s">
        <v>42</v>
      </c>
    </row>
    <row r="18" ht="23.25">
      <c r="I18" t="s">
        <v>78</v>
      </c>
    </row>
  </sheetData>
  <sheetProtection/>
  <mergeCells count="4">
    <mergeCell ref="A1:I1"/>
    <mergeCell ref="A2:I2"/>
    <mergeCell ref="A3:I3"/>
    <mergeCell ref="A5:C5"/>
  </mergeCells>
  <printOptions/>
  <pageMargins left="0.75" right="0.39" top="0.59" bottom="0.69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J109" sqref="J109"/>
    </sheetView>
  </sheetViews>
  <sheetFormatPr defaultColWidth="9.140625" defaultRowHeight="23.25"/>
  <cols>
    <col min="1" max="1" width="6.7109375" style="16" customWidth="1"/>
    <col min="2" max="2" width="6.140625" style="16" customWidth="1"/>
    <col min="3" max="3" width="38.57421875" style="16" customWidth="1"/>
    <col min="4" max="4" width="16.8515625" style="61" customWidth="1"/>
    <col min="5" max="5" width="14.57421875" style="67" customWidth="1"/>
    <col min="6" max="6" width="12.8515625" style="67" bestFit="1" customWidth="1"/>
    <col min="7" max="16384" width="9.140625" style="67" customWidth="1"/>
  </cols>
  <sheetData>
    <row r="1" ht="23.25">
      <c r="F1" s="179" t="s">
        <v>273</v>
      </c>
    </row>
    <row r="2" spans="1:6" s="187" customFormat="1" ht="29.25">
      <c r="A2" s="687" t="s">
        <v>209</v>
      </c>
      <c r="B2" s="687"/>
      <c r="C2" s="687"/>
      <c r="D2" s="687"/>
      <c r="E2" s="687"/>
      <c r="F2" s="687"/>
    </row>
    <row r="3" spans="1:6" s="187" customFormat="1" ht="29.25">
      <c r="A3" s="687" t="s">
        <v>156</v>
      </c>
      <c r="B3" s="687"/>
      <c r="C3" s="687"/>
      <c r="D3" s="687"/>
      <c r="E3" s="687"/>
      <c r="F3" s="687"/>
    </row>
    <row r="4" spans="1:13" s="187" customFormat="1" ht="30">
      <c r="A4" s="688" t="s">
        <v>251</v>
      </c>
      <c r="B4" s="688"/>
      <c r="C4" s="688"/>
      <c r="D4" s="688"/>
      <c r="E4" s="688"/>
      <c r="F4" s="688"/>
      <c r="H4" s="683"/>
      <c r="I4" s="683"/>
      <c r="J4" s="683"/>
      <c r="K4" s="683"/>
      <c r="L4" s="683"/>
      <c r="M4" s="683"/>
    </row>
    <row r="5" spans="1:6" s="187" customFormat="1" ht="18" customHeight="1">
      <c r="A5" s="188"/>
      <c r="B5" s="188"/>
      <c r="C5" s="188"/>
      <c r="D5" s="188"/>
      <c r="E5" s="188"/>
      <c r="F5" s="188"/>
    </row>
    <row r="6" spans="1:6" ht="30" customHeight="1">
      <c r="A6" s="684" t="s">
        <v>159</v>
      </c>
      <c r="B6" s="685"/>
      <c r="C6" s="686"/>
      <c r="D6" s="29" t="s">
        <v>167</v>
      </c>
      <c r="E6" s="29" t="s">
        <v>168</v>
      </c>
      <c r="F6" s="189" t="s">
        <v>165</v>
      </c>
    </row>
    <row r="7" spans="1:6" ht="23.25">
      <c r="A7" s="192" t="s">
        <v>261</v>
      </c>
      <c r="B7" s="32"/>
      <c r="C7" s="190"/>
      <c r="D7" s="70"/>
      <c r="E7" s="71"/>
      <c r="F7" s="79"/>
    </row>
    <row r="8" spans="1:6" ht="23.25">
      <c r="A8" s="192"/>
      <c r="B8" s="16" t="s">
        <v>262</v>
      </c>
      <c r="C8" s="79"/>
      <c r="D8" s="70" t="s">
        <v>169</v>
      </c>
      <c r="E8" s="72">
        <f>กระดาษงบหนี้สิน!H7</f>
        <v>3080653.62</v>
      </c>
      <c r="F8" s="191" t="s">
        <v>210</v>
      </c>
    </row>
    <row r="9" spans="1:6" ht="23.25">
      <c r="A9" s="23" t="s">
        <v>259</v>
      </c>
      <c r="B9" s="32"/>
      <c r="C9" s="79"/>
      <c r="D9" s="70" t="s">
        <v>172</v>
      </c>
      <c r="E9" s="71"/>
      <c r="F9" s="71"/>
    </row>
    <row r="10" spans="1:6" ht="23.25">
      <c r="A10" s="192"/>
      <c r="B10" s="32"/>
      <c r="C10" s="193"/>
      <c r="D10" s="70"/>
      <c r="E10" s="71"/>
      <c r="F10" s="79"/>
    </row>
    <row r="11" spans="1:6" ht="23.25">
      <c r="A11" s="23"/>
      <c r="B11" s="16" t="s">
        <v>260</v>
      </c>
      <c r="C11" s="79"/>
      <c r="D11" s="113" t="s">
        <v>268</v>
      </c>
      <c r="E11" s="237">
        <f>กระดาษงบหนี้สิน!H10</f>
        <v>3708000</v>
      </c>
      <c r="F11" s="191" t="str">
        <f>กระดาษงบหนี้สิน!I10</f>
        <v>ปี 2561</v>
      </c>
    </row>
    <row r="12" spans="1:6" ht="21.75" customHeight="1">
      <c r="A12" s="23" t="s">
        <v>271</v>
      </c>
      <c r="C12" s="79"/>
      <c r="D12" s="113" t="s">
        <v>269</v>
      </c>
      <c r="E12" s="194"/>
      <c r="F12" s="195"/>
    </row>
    <row r="13" spans="1:6" ht="23.25">
      <c r="A13" s="23" t="s">
        <v>272</v>
      </c>
      <c r="B13" s="32"/>
      <c r="C13" s="193"/>
      <c r="D13" s="144"/>
      <c r="E13" s="71"/>
      <c r="F13" s="79"/>
    </row>
    <row r="14" spans="1:6" ht="23.25">
      <c r="A14" s="192"/>
      <c r="B14" s="32"/>
      <c r="C14" s="193"/>
      <c r="D14" s="70"/>
      <c r="E14" s="71"/>
      <c r="F14" s="79"/>
    </row>
    <row r="15" spans="1:6" ht="23.25">
      <c r="A15" s="192"/>
      <c r="B15" s="32"/>
      <c r="C15" s="193"/>
      <c r="D15" s="70"/>
      <c r="E15" s="71"/>
      <c r="F15" s="79"/>
    </row>
    <row r="16" spans="1:6" ht="23.25">
      <c r="A16" s="192"/>
      <c r="B16" s="32"/>
      <c r="C16" s="193"/>
      <c r="D16" s="70"/>
      <c r="E16" s="71"/>
      <c r="F16" s="79"/>
    </row>
    <row r="17" spans="1:6" ht="23.25">
      <c r="A17" s="192"/>
      <c r="B17" s="32"/>
      <c r="C17" s="193"/>
      <c r="D17" s="70"/>
      <c r="E17" s="71"/>
      <c r="F17" s="79"/>
    </row>
    <row r="18" spans="1:6" ht="24" thickBot="1">
      <c r="A18" s="196" t="s">
        <v>166</v>
      </c>
      <c r="B18" s="197"/>
      <c r="C18" s="198"/>
      <c r="D18" s="77"/>
      <c r="E18" s="199">
        <f>SUM(E8:E17)</f>
        <v>6788653.62</v>
      </c>
      <c r="F18" s="200"/>
    </row>
    <row r="19" spans="1:8" ht="24" thickTop="1">
      <c r="A19" s="32"/>
      <c r="B19" s="32"/>
      <c r="C19" s="32"/>
      <c r="D19" s="60"/>
      <c r="E19" s="16"/>
      <c r="F19" s="16"/>
      <c r="G19" s="16"/>
      <c r="H19" s="16"/>
    </row>
    <row r="20" spans="1:8" ht="36.75" customHeight="1">
      <c r="A20" s="32"/>
      <c r="B20" s="32"/>
      <c r="C20" s="32"/>
      <c r="D20" s="60"/>
      <c r="E20" s="16"/>
      <c r="F20" s="16"/>
      <c r="G20" s="16"/>
      <c r="H20" s="16"/>
    </row>
    <row r="21" spans="1:18" ht="30" customHeight="1">
      <c r="A21" s="32"/>
      <c r="B21" s="32"/>
      <c r="C21" s="32"/>
      <c r="D21" s="60"/>
      <c r="E21" s="201"/>
      <c r="F21" s="32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32.25" customHeight="1">
      <c r="A22" s="32"/>
      <c r="B22" s="32"/>
      <c r="C22" s="32"/>
      <c r="D22" s="6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23.25">
      <c r="A23" s="202" t="s">
        <v>3</v>
      </c>
      <c r="B23" s="203"/>
      <c r="C23" s="32"/>
      <c r="D23" s="60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23.25">
      <c r="A24" s="32"/>
      <c r="B24" s="32"/>
      <c r="C24" s="32"/>
      <c r="D24" s="60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3.25">
      <c r="A25" s="32"/>
      <c r="B25" s="32"/>
      <c r="C25" s="32"/>
      <c r="D25" s="60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3" ht="23.25">
      <c r="A26" s="32"/>
      <c r="B26" s="32"/>
      <c r="C26" s="32"/>
    </row>
    <row r="27" spans="1:3" ht="23.25">
      <c r="A27" s="32"/>
      <c r="B27" s="32"/>
      <c r="C27" s="32"/>
    </row>
    <row r="28" spans="1:3" ht="23.25">
      <c r="A28" s="32"/>
      <c r="B28" s="32"/>
      <c r="C28" s="32"/>
    </row>
    <row r="29" spans="1:3" ht="23.25">
      <c r="A29" s="32"/>
      <c r="B29" s="32"/>
      <c r="C29" s="32"/>
    </row>
  </sheetData>
  <sheetProtection/>
  <mergeCells count="5">
    <mergeCell ref="H4:M4"/>
    <mergeCell ref="A6:C6"/>
    <mergeCell ref="A2:F2"/>
    <mergeCell ref="A3:F3"/>
    <mergeCell ref="A4:F4"/>
  </mergeCells>
  <printOptions/>
  <pageMargins left="0.72" right="0.43" top="0.78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C1">
      <selection activeCell="H14" sqref="H14"/>
    </sheetView>
  </sheetViews>
  <sheetFormatPr defaultColWidth="9.140625" defaultRowHeight="23.25"/>
  <cols>
    <col min="1" max="2" width="3.28125" style="4" customWidth="1"/>
    <col min="3" max="3" width="44.57421875" style="4" bestFit="1" customWidth="1"/>
    <col min="4" max="4" width="14.140625" style="12" customWidth="1"/>
    <col min="5" max="5" width="19.8515625" style="4" hidden="1" customWidth="1"/>
    <col min="6" max="6" width="13.8515625" style="12" bestFit="1" customWidth="1"/>
    <col min="7" max="7" width="13.8515625" style="0" customWidth="1"/>
    <col min="8" max="8" width="10.00390625" style="4" customWidth="1"/>
    <col min="9" max="16384" width="9.140625" style="2" customWidth="1"/>
  </cols>
  <sheetData>
    <row r="1" spans="1:8" ht="23.25">
      <c r="A1" s="693" t="s">
        <v>366</v>
      </c>
      <c r="B1" s="693"/>
      <c r="C1" s="693"/>
      <c r="D1" s="693"/>
      <c r="E1" s="693"/>
      <c r="F1" s="693"/>
      <c r="G1" s="693"/>
      <c r="H1" s="693"/>
    </row>
    <row r="2" spans="1:8" ht="23.25">
      <c r="A2" s="693" t="s">
        <v>211</v>
      </c>
      <c r="B2" s="693"/>
      <c r="C2" s="693"/>
      <c r="D2" s="693"/>
      <c r="E2" s="693"/>
      <c r="F2" s="693"/>
      <c r="G2" s="693"/>
      <c r="H2" s="693"/>
    </row>
    <row r="3" spans="1:8" ht="23.25">
      <c r="A3" s="694" t="s">
        <v>317</v>
      </c>
      <c r="B3" s="694"/>
      <c r="C3" s="694"/>
      <c r="D3" s="694"/>
      <c r="E3" s="694"/>
      <c r="F3" s="694"/>
      <c r="G3" s="694"/>
      <c r="H3" s="694"/>
    </row>
    <row r="4" spans="1:9" ht="40.5" customHeight="1">
      <c r="A4" s="690" t="s">
        <v>212</v>
      </c>
      <c r="B4" s="691"/>
      <c r="C4" s="692"/>
      <c r="D4" s="336" t="s">
        <v>213</v>
      </c>
      <c r="E4" s="204" t="s">
        <v>214</v>
      </c>
      <c r="F4" s="337" t="s">
        <v>393</v>
      </c>
      <c r="G4" s="278" t="s">
        <v>215</v>
      </c>
      <c r="H4" s="204" t="s">
        <v>216</v>
      </c>
      <c r="I4" s="254"/>
    </row>
    <row r="5" spans="1:8" ht="23.25">
      <c r="A5" s="205" t="s">
        <v>217</v>
      </c>
      <c r="B5" s="338"/>
      <c r="C5" s="339"/>
      <c r="D5" s="270"/>
      <c r="E5" s="340"/>
      <c r="F5" s="270"/>
      <c r="G5" s="341"/>
      <c r="H5" s="342"/>
    </row>
    <row r="6" spans="1:8" ht="23.25">
      <c r="A6" s="343"/>
      <c r="B6" s="344" t="s">
        <v>218</v>
      </c>
      <c r="C6" s="345"/>
      <c r="D6" s="270"/>
      <c r="E6" s="340"/>
      <c r="F6" s="270"/>
      <c r="G6" s="341"/>
      <c r="H6" s="346"/>
    </row>
    <row r="7" spans="1:8" ht="23.25">
      <c r="A7" s="343"/>
      <c r="B7" s="344"/>
      <c r="C7" s="345" t="s">
        <v>18</v>
      </c>
      <c r="D7" s="75">
        <v>35000</v>
      </c>
      <c r="E7" s="346"/>
      <c r="F7" s="75">
        <v>61108.343</v>
      </c>
      <c r="G7" s="347">
        <f>F7-D7</f>
        <v>26108.343</v>
      </c>
      <c r="H7" s="346">
        <f>G7*100/D7</f>
        <v>74.59526571428572</v>
      </c>
    </row>
    <row r="8" spans="1:8" ht="23.25">
      <c r="A8" s="343"/>
      <c r="B8" s="344"/>
      <c r="C8" s="345" t="s">
        <v>19</v>
      </c>
      <c r="D8" s="75">
        <v>300000</v>
      </c>
      <c r="E8" s="346"/>
      <c r="F8" s="75">
        <f>102147-5107.35+35120.55</f>
        <v>132160.2</v>
      </c>
      <c r="G8" s="348">
        <f>F8-D8</f>
        <v>-167839.8</v>
      </c>
      <c r="H8" s="355">
        <f>G8*100/D8</f>
        <v>-55.9466</v>
      </c>
    </row>
    <row r="9" spans="1:8" ht="23.25">
      <c r="A9" s="343"/>
      <c r="B9" s="344"/>
      <c r="C9" s="345" t="s">
        <v>20</v>
      </c>
      <c r="D9" s="75">
        <v>1200</v>
      </c>
      <c r="E9" s="346"/>
      <c r="F9" s="75">
        <v>3050</v>
      </c>
      <c r="G9" s="347">
        <f>F9-D9</f>
        <v>1850</v>
      </c>
      <c r="H9" s="346">
        <f>G9*100/D9</f>
        <v>154.16666666666666</v>
      </c>
    </row>
    <row r="10" spans="1:8" ht="23.25" hidden="1">
      <c r="A10" s="343"/>
      <c r="B10" s="344"/>
      <c r="C10" s="345" t="s">
        <v>21</v>
      </c>
      <c r="D10" s="75">
        <v>0</v>
      </c>
      <c r="E10" s="346"/>
      <c r="F10" s="75"/>
      <c r="G10" s="348">
        <f>F10-D10</f>
        <v>0</v>
      </c>
      <c r="H10" s="346"/>
    </row>
    <row r="11" spans="1:8" ht="23.25">
      <c r="A11" s="349"/>
      <c r="B11" s="350"/>
      <c r="C11" s="351"/>
      <c r="D11" s="262"/>
      <c r="E11" s="352"/>
      <c r="F11" s="262"/>
      <c r="G11" s="378"/>
      <c r="H11" s="353"/>
    </row>
    <row r="12" spans="1:8" s="116" customFormat="1" ht="23.25">
      <c r="A12" s="206"/>
      <c r="B12" s="207"/>
      <c r="C12" s="208" t="s">
        <v>4</v>
      </c>
      <c r="D12" s="322">
        <f>SUM(D7:D11)</f>
        <v>336200</v>
      </c>
      <c r="E12" s="209">
        <f>SUM(E7:E11)</f>
        <v>0</v>
      </c>
      <c r="F12" s="322">
        <f>SUM(F7:F11)</f>
        <v>196318.543</v>
      </c>
      <c r="G12" s="279">
        <f>SUM(G7:G11)</f>
        <v>-139881.457</v>
      </c>
      <c r="H12" s="354">
        <f>G12*100/D12</f>
        <v>-41.60662016656752</v>
      </c>
    </row>
    <row r="13" spans="1:8" ht="23.25">
      <c r="A13" s="343"/>
      <c r="B13" s="344" t="s">
        <v>219</v>
      </c>
      <c r="C13" s="345"/>
      <c r="D13" s="75"/>
      <c r="E13" s="346"/>
      <c r="F13" s="75"/>
      <c r="G13" s="375"/>
      <c r="H13" s="340"/>
    </row>
    <row r="14" spans="1:8" ht="23.25">
      <c r="A14" s="343"/>
      <c r="B14" s="344"/>
      <c r="C14" s="345" t="s">
        <v>220</v>
      </c>
      <c r="D14" s="75">
        <v>2000</v>
      </c>
      <c r="E14" s="346"/>
      <c r="F14" s="75">
        <v>320</v>
      </c>
      <c r="G14" s="348">
        <f>SUM(F14-D14)</f>
        <v>-1680</v>
      </c>
      <c r="H14" s="355">
        <f>SUM(G14*100/D14)</f>
        <v>-84</v>
      </c>
    </row>
    <row r="15" spans="1:8" ht="23.25">
      <c r="A15" s="343"/>
      <c r="B15" s="344"/>
      <c r="C15" s="345" t="s">
        <v>221</v>
      </c>
      <c r="D15" s="75">
        <v>6000</v>
      </c>
      <c r="E15" s="346"/>
      <c r="F15" s="75">
        <v>5400</v>
      </c>
      <c r="G15" s="348">
        <f aca="true" t="shared" si="0" ref="G15:G21">SUM(F15-D15)</f>
        <v>-600</v>
      </c>
      <c r="H15" s="355">
        <f>SUM(G15*100/D15)</f>
        <v>-10</v>
      </c>
    </row>
    <row r="16" spans="1:8" ht="23.25">
      <c r="A16" s="343"/>
      <c r="B16" s="344"/>
      <c r="C16" s="319" t="s">
        <v>367</v>
      </c>
      <c r="D16" s="75"/>
      <c r="E16" s="346"/>
      <c r="F16" s="75">
        <v>33413.04</v>
      </c>
      <c r="G16" s="348">
        <f t="shared" si="0"/>
        <v>33413.04</v>
      </c>
      <c r="H16" s="355"/>
    </row>
    <row r="17" spans="1:8" s="321" customFormat="1" ht="23.25">
      <c r="A17" s="356"/>
      <c r="B17" s="357"/>
      <c r="C17" s="320" t="s">
        <v>394</v>
      </c>
      <c r="D17" s="75">
        <v>20000</v>
      </c>
      <c r="E17" s="358"/>
      <c r="F17" s="75">
        <v>21600</v>
      </c>
      <c r="G17" s="359">
        <f t="shared" si="0"/>
        <v>1600</v>
      </c>
      <c r="H17" s="360">
        <f>SUM(G17*100/D17)</f>
        <v>8</v>
      </c>
    </row>
    <row r="18" spans="1:8" ht="23.25">
      <c r="A18" s="343"/>
      <c r="B18" s="344"/>
      <c r="C18" s="319" t="s">
        <v>395</v>
      </c>
      <c r="D18" s="75">
        <v>3000</v>
      </c>
      <c r="E18" s="346"/>
      <c r="F18" s="75"/>
      <c r="G18" s="348">
        <f t="shared" si="0"/>
        <v>-3000</v>
      </c>
      <c r="H18" s="355">
        <f>SUM(G18*100/D18)</f>
        <v>-100</v>
      </c>
    </row>
    <row r="19" spans="1:8" ht="23.25">
      <c r="A19" s="343"/>
      <c r="B19" s="344"/>
      <c r="C19" s="319" t="s">
        <v>396</v>
      </c>
      <c r="D19" s="75">
        <v>2000</v>
      </c>
      <c r="E19" s="346"/>
      <c r="F19" s="75">
        <v>1001</v>
      </c>
      <c r="G19" s="348">
        <f t="shared" si="0"/>
        <v>-999</v>
      </c>
      <c r="H19" s="355">
        <f>SUM(G19*100/D19)</f>
        <v>-49.95</v>
      </c>
    </row>
    <row r="20" spans="1:8" ht="23.25" hidden="1">
      <c r="A20" s="343"/>
      <c r="B20" s="344"/>
      <c r="C20" s="345" t="s">
        <v>103</v>
      </c>
      <c r="D20" s="75">
        <v>2000</v>
      </c>
      <c r="E20" s="346"/>
      <c r="F20" s="75"/>
      <c r="G20" s="348">
        <f t="shared" si="0"/>
        <v>-2000</v>
      </c>
      <c r="H20" s="355">
        <f>SUM(G20*100/D20)</f>
        <v>-100</v>
      </c>
    </row>
    <row r="21" spans="1:8" ht="23.25">
      <c r="A21" s="361"/>
      <c r="B21" s="362"/>
      <c r="C21" s="324" t="s">
        <v>397</v>
      </c>
      <c r="D21" s="248"/>
      <c r="E21" s="6"/>
      <c r="F21" s="276">
        <v>2660</v>
      </c>
      <c r="G21" s="363">
        <f t="shared" si="0"/>
        <v>2660</v>
      </c>
      <c r="H21" s="364"/>
    </row>
    <row r="22" spans="1:8" ht="23.25">
      <c r="A22" s="365"/>
      <c r="B22" s="350"/>
      <c r="C22" s="366"/>
      <c r="D22" s="262"/>
      <c r="E22" s="352"/>
      <c r="F22" s="262"/>
      <c r="G22" s="367"/>
      <c r="H22" s="368"/>
    </row>
    <row r="23" spans="1:8" s="116" customFormat="1" ht="23.25">
      <c r="A23" s="206"/>
      <c r="B23" s="207"/>
      <c r="C23" s="208" t="s">
        <v>4</v>
      </c>
      <c r="D23" s="322">
        <f>SUM(D14:D19)</f>
        <v>33000</v>
      </c>
      <c r="E23" s="209">
        <f>SUM(E13:E20)</f>
        <v>0</v>
      </c>
      <c r="F23" s="322">
        <f>SUM(F14:F21)</f>
        <v>64394.04</v>
      </c>
      <c r="G23" s="209">
        <f>SUM(G13:G20)</f>
        <v>26734.04</v>
      </c>
      <c r="H23" s="209">
        <f>G23*100/D23</f>
        <v>81.01224242424243</v>
      </c>
    </row>
    <row r="24" spans="1:8" ht="23.25">
      <c r="A24" s="369"/>
      <c r="B24" s="370" t="s">
        <v>222</v>
      </c>
      <c r="C24" s="339"/>
      <c r="D24" s="270"/>
      <c r="E24" s="340"/>
      <c r="F24" s="270"/>
      <c r="G24" s="347"/>
      <c r="H24" s="340"/>
    </row>
    <row r="25" spans="1:8" ht="23.25" hidden="1">
      <c r="A25" s="371"/>
      <c r="B25" s="372"/>
      <c r="C25" s="325" t="s">
        <v>362</v>
      </c>
      <c r="D25" s="248"/>
      <c r="E25" s="353"/>
      <c r="F25" s="248"/>
      <c r="G25" s="363">
        <f>SUM(F25-D25)</f>
        <v>0</v>
      </c>
      <c r="H25" s="363" t="e">
        <f>G25*100/D25</f>
        <v>#DIV/0!</v>
      </c>
    </row>
    <row r="26" spans="1:8" ht="23.25">
      <c r="A26" s="343"/>
      <c r="B26" s="344"/>
      <c r="C26" s="373" t="s">
        <v>154</v>
      </c>
      <c r="D26" s="75">
        <v>30000</v>
      </c>
      <c r="E26" s="346"/>
      <c r="F26" s="75">
        <v>30210.71</v>
      </c>
      <c r="G26" s="363">
        <f>SUM(F26-D26)</f>
        <v>210.70999999999913</v>
      </c>
      <c r="H26" s="363">
        <f>G26*100/D26</f>
        <v>0.7023666666666638</v>
      </c>
    </row>
    <row r="27" spans="1:8" ht="23.25" hidden="1">
      <c r="A27" s="343"/>
      <c r="B27" s="344"/>
      <c r="C27" s="319" t="s">
        <v>398</v>
      </c>
      <c r="D27" s="75"/>
      <c r="E27" s="346"/>
      <c r="F27" s="75"/>
      <c r="G27" s="363">
        <f>SUM(F27-D27)</f>
        <v>0</v>
      </c>
      <c r="H27" s="363" t="e">
        <f>G27*100/D27</f>
        <v>#DIV/0!</v>
      </c>
    </row>
    <row r="28" spans="1:8" ht="23.25" hidden="1">
      <c r="A28" s="371"/>
      <c r="B28" s="372"/>
      <c r="C28" s="325" t="s">
        <v>399</v>
      </c>
      <c r="D28" s="248"/>
      <c r="E28" s="353"/>
      <c r="F28" s="248"/>
      <c r="G28" s="363">
        <f>SUM(F28-D28)</f>
        <v>0</v>
      </c>
      <c r="H28" s="363"/>
    </row>
    <row r="29" spans="1:8" ht="23.25">
      <c r="A29" s="349"/>
      <c r="B29" s="350"/>
      <c r="C29" s="351"/>
      <c r="D29" s="262"/>
      <c r="E29" s="352"/>
      <c r="F29" s="262"/>
      <c r="G29" s="374"/>
      <c r="H29" s="374"/>
    </row>
    <row r="30" spans="1:8" ht="23.25">
      <c r="A30" s="206"/>
      <c r="B30" s="207"/>
      <c r="C30" s="208" t="s">
        <v>4</v>
      </c>
      <c r="D30" s="322">
        <f>SUM(D25:D29)</f>
        <v>30000</v>
      </c>
      <c r="E30" s="209">
        <f>SUM(E25:E29)</f>
        <v>0</v>
      </c>
      <c r="F30" s="322">
        <f>SUM(F25:F29)</f>
        <v>30210.71</v>
      </c>
      <c r="G30" s="279">
        <f>SUM(G25:G29)</f>
        <v>210.70999999999913</v>
      </c>
      <c r="H30" s="279">
        <f>G30*100/D30</f>
        <v>0.7023666666666638</v>
      </c>
    </row>
    <row r="31" spans="1:8" ht="23.25">
      <c r="A31" s="369"/>
      <c r="B31" s="370" t="s">
        <v>223</v>
      </c>
      <c r="C31" s="339"/>
      <c r="D31" s="270"/>
      <c r="E31" s="340"/>
      <c r="F31" s="270"/>
      <c r="G31" s="375"/>
      <c r="H31" s="340"/>
    </row>
    <row r="32" spans="1:8" s="321" customFormat="1" ht="18.75" customHeight="1">
      <c r="A32" s="356"/>
      <c r="B32" s="357"/>
      <c r="C32" s="320" t="s">
        <v>318</v>
      </c>
      <c r="D32" s="320">
        <v>650000</v>
      </c>
      <c r="E32" s="376"/>
      <c r="F32" s="75">
        <f>266221+8373</f>
        <v>274594</v>
      </c>
      <c r="G32" s="377">
        <f>F32-D32</f>
        <v>-375406</v>
      </c>
      <c r="H32" s="377">
        <f>G32*100/D32</f>
        <v>-57.75476923076923</v>
      </c>
    </row>
    <row r="33" spans="1:8" ht="23.25">
      <c r="A33" s="349"/>
      <c r="B33" s="350"/>
      <c r="C33" s="351"/>
      <c r="D33" s="276"/>
      <c r="E33" s="6"/>
      <c r="F33" s="276"/>
      <c r="G33" s="378"/>
      <c r="H33" s="353"/>
    </row>
    <row r="34" spans="1:8" ht="23.25">
      <c r="A34" s="206"/>
      <c r="B34" s="207"/>
      <c r="C34" s="208" t="s">
        <v>4</v>
      </c>
      <c r="D34" s="322">
        <f>SUM(D32:D33)</f>
        <v>650000</v>
      </c>
      <c r="E34" s="209"/>
      <c r="F34" s="322">
        <f>SUM(F32:F32)</f>
        <v>274594</v>
      </c>
      <c r="G34" s="279">
        <f>F34-D34</f>
        <v>-375406</v>
      </c>
      <c r="H34" s="279">
        <f>G34*100/D34</f>
        <v>-57.75476923076923</v>
      </c>
    </row>
    <row r="35" spans="1:8" ht="23.25">
      <c r="A35" s="379"/>
      <c r="B35" s="338" t="s">
        <v>224</v>
      </c>
      <c r="C35" s="339"/>
      <c r="D35" s="270"/>
      <c r="E35" s="340"/>
      <c r="F35" s="270"/>
      <c r="G35" s="375"/>
      <c r="H35" s="340"/>
    </row>
    <row r="36" spans="1:8" ht="23.25">
      <c r="A36" s="343"/>
      <c r="B36" s="344"/>
      <c r="C36" s="345" t="s">
        <v>135</v>
      </c>
      <c r="D36" s="75">
        <v>145000</v>
      </c>
      <c r="E36" s="346"/>
      <c r="F36" s="75">
        <v>89000</v>
      </c>
      <c r="G36" s="363">
        <f>SUM(F36-D36)</f>
        <v>-56000</v>
      </c>
      <c r="H36" s="363">
        <f>G36*100/D36</f>
        <v>-38.62068965517241</v>
      </c>
    </row>
    <row r="37" spans="1:8" ht="23.25">
      <c r="A37" s="343"/>
      <c r="B37" s="344"/>
      <c r="C37" s="319" t="s">
        <v>400</v>
      </c>
      <c r="D37" s="75">
        <v>80000</v>
      </c>
      <c r="E37" s="346"/>
      <c r="F37" s="75"/>
      <c r="G37" s="363">
        <f>SUM(F37-D37)</f>
        <v>-80000</v>
      </c>
      <c r="H37" s="363">
        <f>G37*100/D37</f>
        <v>-100</v>
      </c>
    </row>
    <row r="38" spans="1:8" ht="23.25">
      <c r="A38" s="343"/>
      <c r="B38" s="344"/>
      <c r="C38" s="345" t="s">
        <v>225</v>
      </c>
      <c r="D38" s="75">
        <v>25500</v>
      </c>
      <c r="E38" s="346"/>
      <c r="F38" s="75">
        <v>4049.92</v>
      </c>
      <c r="G38" s="363">
        <f>SUM(F38-D38)</f>
        <v>-21450.08</v>
      </c>
      <c r="H38" s="363">
        <f>G38*100/D38</f>
        <v>-84.11796078431372</v>
      </c>
    </row>
    <row r="39" spans="1:8" ht="23.25">
      <c r="A39" s="361"/>
      <c r="B39" s="362"/>
      <c r="C39" s="380"/>
      <c r="D39" s="276"/>
      <c r="E39" s="6"/>
      <c r="F39" s="276"/>
      <c r="G39" s="363"/>
      <c r="H39" s="363"/>
    </row>
    <row r="40" spans="1:8" ht="23.25">
      <c r="A40" s="206"/>
      <c r="B40" s="207"/>
      <c r="C40" s="208" t="s">
        <v>4</v>
      </c>
      <c r="D40" s="322">
        <f>SUM(D36:D38)</f>
        <v>250500</v>
      </c>
      <c r="E40" s="209"/>
      <c r="F40" s="322">
        <f>SUM(F36:F38)</f>
        <v>93049.92</v>
      </c>
      <c r="G40" s="279">
        <f>F40-D40</f>
        <v>-157450.08000000002</v>
      </c>
      <c r="H40" s="279">
        <f>SUM(G40*100/D40)</f>
        <v>-62.854323353293424</v>
      </c>
    </row>
    <row r="41" spans="1:8" ht="23.25" hidden="1">
      <c r="A41" s="369"/>
      <c r="B41" s="370" t="s">
        <v>226</v>
      </c>
      <c r="C41" s="339"/>
      <c r="D41" s="270"/>
      <c r="E41" s="340"/>
      <c r="F41" s="270"/>
      <c r="G41" s="375"/>
      <c r="H41" s="340"/>
    </row>
    <row r="42" spans="1:8" ht="23.25" hidden="1">
      <c r="A42" s="343"/>
      <c r="B42" s="344"/>
      <c r="C42" s="345" t="s">
        <v>227</v>
      </c>
      <c r="D42" s="75"/>
      <c r="E42" s="346"/>
      <c r="F42" s="75"/>
      <c r="G42" s="347"/>
      <c r="H42" s="346"/>
    </row>
    <row r="43" spans="1:8" ht="23.25" hidden="1">
      <c r="A43" s="371"/>
      <c r="B43" s="372"/>
      <c r="C43" s="373"/>
      <c r="D43" s="248"/>
      <c r="E43" s="353"/>
      <c r="F43" s="248"/>
      <c r="G43" s="378"/>
      <c r="H43" s="353"/>
    </row>
    <row r="44" spans="1:8" ht="23.25" hidden="1">
      <c r="A44" s="206"/>
      <c r="B44" s="207"/>
      <c r="C44" s="208" t="s">
        <v>4</v>
      </c>
      <c r="D44" s="322"/>
      <c r="E44" s="209"/>
      <c r="F44" s="381"/>
      <c r="G44" s="255"/>
      <c r="H44" s="382"/>
    </row>
    <row r="45" spans="1:8" ht="23.25">
      <c r="A45" s="218" t="s">
        <v>228</v>
      </c>
      <c r="B45" s="219"/>
      <c r="C45" s="383"/>
      <c r="D45" s="270"/>
      <c r="E45" s="340"/>
      <c r="F45" s="270"/>
      <c r="G45" s="375"/>
      <c r="H45" s="340"/>
    </row>
    <row r="46" spans="1:8" ht="23.25">
      <c r="A46" s="343"/>
      <c r="B46" s="210" t="s">
        <v>229</v>
      </c>
      <c r="C46" s="384"/>
      <c r="D46" s="270"/>
      <c r="E46" s="340"/>
      <c r="F46" s="270"/>
      <c r="G46" s="347"/>
      <c r="H46" s="346"/>
    </row>
    <row r="47" spans="1:8" s="215" customFormat="1" ht="23.25">
      <c r="A47" s="211"/>
      <c r="B47" s="212"/>
      <c r="C47" s="385" t="s">
        <v>22</v>
      </c>
      <c r="D47" s="386">
        <f>2300000+4350000</f>
        <v>6650000</v>
      </c>
      <c r="E47" s="214"/>
      <c r="F47" s="386">
        <f>1597374.86+4311120.07</f>
        <v>5908494.930000001</v>
      </c>
      <c r="G47" s="363">
        <f>SUM(F47-D47)</f>
        <v>-741505.0699999994</v>
      </c>
      <c r="H47" s="363">
        <f aca="true" t="shared" si="1" ref="H47:H56">G47*100/D47</f>
        <v>-11.150452180451119</v>
      </c>
    </row>
    <row r="48" spans="1:8" s="215" customFormat="1" ht="23.25">
      <c r="A48" s="211"/>
      <c r="B48" s="212"/>
      <c r="C48" s="385" t="s">
        <v>23</v>
      </c>
      <c r="D48" s="386">
        <v>20000</v>
      </c>
      <c r="E48" s="214"/>
      <c r="F48" s="386">
        <v>7586.91</v>
      </c>
      <c r="G48" s="363">
        <f aca="true" t="shared" si="2" ref="G48:G56">SUM(F48-D48)</f>
        <v>-12413.09</v>
      </c>
      <c r="H48" s="363">
        <f t="shared" si="1"/>
        <v>-62.06545</v>
      </c>
    </row>
    <row r="49" spans="1:8" s="215" customFormat="1" ht="23.25">
      <c r="A49" s="280"/>
      <c r="B49" s="281"/>
      <c r="C49" s="387" t="s">
        <v>24</v>
      </c>
      <c r="D49" s="388">
        <v>1100000</v>
      </c>
      <c r="E49" s="213"/>
      <c r="F49" s="388">
        <v>991208.89</v>
      </c>
      <c r="G49" s="363">
        <f t="shared" si="2"/>
        <v>-108791.10999999999</v>
      </c>
      <c r="H49" s="363">
        <f t="shared" si="1"/>
        <v>-9.890100909090908</v>
      </c>
    </row>
    <row r="50" spans="1:8" s="215" customFormat="1" ht="23.25">
      <c r="A50" s="211"/>
      <c r="B50" s="212"/>
      <c r="C50" s="385" t="s">
        <v>25</v>
      </c>
      <c r="D50" s="388">
        <v>2300000</v>
      </c>
      <c r="E50" s="213"/>
      <c r="F50" s="388">
        <v>1943897.06</v>
      </c>
      <c r="G50" s="363">
        <f t="shared" si="2"/>
        <v>-356102.93999999994</v>
      </c>
      <c r="H50" s="363">
        <f t="shared" si="1"/>
        <v>-15.482736521739128</v>
      </c>
    </row>
    <row r="51" spans="1:8" s="215" customFormat="1" ht="23.25">
      <c r="A51" s="211"/>
      <c r="B51" s="212"/>
      <c r="C51" s="385" t="s">
        <v>231</v>
      </c>
      <c r="D51" s="388">
        <v>264042</v>
      </c>
      <c r="E51" s="213"/>
      <c r="F51" s="388">
        <v>217967</v>
      </c>
      <c r="G51" s="363">
        <f t="shared" si="2"/>
        <v>-46075</v>
      </c>
      <c r="H51" s="363">
        <f t="shared" si="1"/>
        <v>-17.44987539861083</v>
      </c>
    </row>
    <row r="52" spans="1:8" s="215" customFormat="1" ht="23.25">
      <c r="A52" s="211"/>
      <c r="B52" s="212"/>
      <c r="C52" s="385" t="s">
        <v>26</v>
      </c>
      <c r="D52" s="388">
        <v>50000</v>
      </c>
      <c r="E52" s="213"/>
      <c r="F52" s="388">
        <v>48991.66</v>
      </c>
      <c r="G52" s="363">
        <f t="shared" si="2"/>
        <v>-1008.3399999999965</v>
      </c>
      <c r="H52" s="363">
        <f t="shared" si="1"/>
        <v>-2.016679999999993</v>
      </c>
    </row>
    <row r="53" spans="1:8" s="215" customFormat="1" ht="23.25">
      <c r="A53" s="211"/>
      <c r="B53" s="212"/>
      <c r="C53" s="385" t="s">
        <v>230</v>
      </c>
      <c r="D53" s="388">
        <v>55000</v>
      </c>
      <c r="E53" s="213"/>
      <c r="F53" s="388">
        <v>46548.51</v>
      </c>
      <c r="G53" s="363">
        <f t="shared" si="2"/>
        <v>-8451.489999999998</v>
      </c>
      <c r="H53" s="363">
        <f t="shared" si="1"/>
        <v>-15.366345454545451</v>
      </c>
    </row>
    <row r="54" spans="1:8" s="215" customFormat="1" ht="23.25">
      <c r="A54" s="211"/>
      <c r="B54" s="212"/>
      <c r="C54" s="385" t="s">
        <v>97</v>
      </c>
      <c r="D54" s="388">
        <v>600000</v>
      </c>
      <c r="E54" s="213"/>
      <c r="F54" s="388">
        <v>1311547.85</v>
      </c>
      <c r="G54" s="363">
        <f t="shared" si="2"/>
        <v>711547.8500000001</v>
      </c>
      <c r="H54" s="363">
        <f t="shared" si="1"/>
        <v>118.59130833333336</v>
      </c>
    </row>
    <row r="55" spans="1:8" s="215" customFormat="1" ht="23.25" hidden="1">
      <c r="A55" s="326"/>
      <c r="B55" s="327"/>
      <c r="C55" s="389" t="s">
        <v>401</v>
      </c>
      <c r="D55" s="388"/>
      <c r="E55" s="213"/>
      <c r="F55" s="388"/>
      <c r="G55" s="363">
        <f t="shared" si="2"/>
        <v>0</v>
      </c>
      <c r="H55" s="363" t="e">
        <f t="shared" si="1"/>
        <v>#DIV/0!</v>
      </c>
    </row>
    <row r="56" spans="1:8" s="215" customFormat="1" ht="23.25" hidden="1">
      <c r="A56" s="326"/>
      <c r="B56" s="327"/>
      <c r="C56" s="389" t="s">
        <v>363</v>
      </c>
      <c r="D56" s="388"/>
      <c r="E56" s="213"/>
      <c r="F56" s="388"/>
      <c r="G56" s="363">
        <f t="shared" si="2"/>
        <v>0</v>
      </c>
      <c r="H56" s="363" t="e">
        <f t="shared" si="1"/>
        <v>#DIV/0!</v>
      </c>
    </row>
    <row r="57" spans="1:8" s="215" customFormat="1" ht="23.25">
      <c r="A57" s="216"/>
      <c r="B57" s="217"/>
      <c r="C57" s="390"/>
      <c r="D57" s="388"/>
      <c r="E57" s="213"/>
      <c r="F57" s="388"/>
      <c r="G57" s="378"/>
      <c r="H57" s="353"/>
    </row>
    <row r="58" spans="1:8" s="116" customFormat="1" ht="23.25">
      <c r="A58" s="206"/>
      <c r="B58" s="207"/>
      <c r="C58" s="208" t="s">
        <v>4</v>
      </c>
      <c r="D58" s="322">
        <f>SUM(D47:D57)</f>
        <v>11039042</v>
      </c>
      <c r="E58" s="209"/>
      <c r="F58" s="322">
        <f>SUM(F47:F57)</f>
        <v>10476242.81</v>
      </c>
      <c r="G58" s="279">
        <f>F58-D58</f>
        <v>-562799.1899999995</v>
      </c>
      <c r="H58" s="279">
        <f>G58*100/D58</f>
        <v>-5.0982611534587825</v>
      </c>
    </row>
    <row r="59" spans="1:8" ht="23.25">
      <c r="A59" s="218" t="s">
        <v>232</v>
      </c>
      <c r="B59" s="338"/>
      <c r="C59" s="339"/>
      <c r="D59" s="75"/>
      <c r="E59" s="346"/>
      <c r="F59" s="75"/>
      <c r="G59" s="375"/>
      <c r="H59" s="340"/>
    </row>
    <row r="60" spans="1:8" ht="23.25">
      <c r="A60" s="379"/>
      <c r="B60" s="338" t="s">
        <v>233</v>
      </c>
      <c r="C60" s="339"/>
      <c r="D60" s="75"/>
      <c r="E60" s="346"/>
      <c r="F60" s="75"/>
      <c r="G60" s="347"/>
      <c r="H60" s="346"/>
    </row>
    <row r="61" spans="1:8" ht="23.25">
      <c r="A61" s="371"/>
      <c r="B61" s="372"/>
      <c r="C61" s="391" t="s">
        <v>402</v>
      </c>
      <c r="D61" s="248">
        <v>19643519</v>
      </c>
      <c r="E61" s="353"/>
      <c r="F61" s="248">
        <v>17442324</v>
      </c>
      <c r="G61" s="363">
        <f>SUM(F61-D61)</f>
        <v>-2201195</v>
      </c>
      <c r="H61" s="363">
        <f>G61*100/D61</f>
        <v>-11.205706065191272</v>
      </c>
    </row>
    <row r="62" spans="1:8" ht="23.25">
      <c r="A62" s="371"/>
      <c r="B62" s="372"/>
      <c r="C62" s="391"/>
      <c r="D62" s="248"/>
      <c r="E62" s="353"/>
      <c r="F62" s="248"/>
      <c r="G62" s="363"/>
      <c r="H62" s="363"/>
    </row>
    <row r="63" spans="1:8" ht="23.25">
      <c r="A63" s="206"/>
      <c r="B63" s="207"/>
      <c r="C63" s="208" t="s">
        <v>4</v>
      </c>
      <c r="D63" s="322">
        <f>SUM(D61:D62)</f>
        <v>19643519</v>
      </c>
      <c r="E63" s="322">
        <f>SUM(E61:E62)</f>
        <v>0</v>
      </c>
      <c r="F63" s="322">
        <f>SUM(F61:F62)</f>
        <v>17442324</v>
      </c>
      <c r="G63" s="279">
        <f>F63-D63</f>
        <v>-2201195</v>
      </c>
      <c r="H63" s="279">
        <f>G63*100/D63</f>
        <v>-11.205706065191272</v>
      </c>
    </row>
    <row r="64" spans="1:8" ht="23.25">
      <c r="A64" s="392"/>
      <c r="B64" s="284" t="s">
        <v>234</v>
      </c>
      <c r="C64" s="393"/>
      <c r="D64" s="394"/>
      <c r="E64" s="346"/>
      <c r="F64" s="75"/>
      <c r="G64" s="348"/>
      <c r="H64" s="348"/>
    </row>
    <row r="65" spans="1:8" ht="23.25">
      <c r="A65" s="392"/>
      <c r="B65" s="323" t="s">
        <v>364</v>
      </c>
      <c r="C65" s="2"/>
      <c r="D65" s="394"/>
      <c r="E65" s="346"/>
      <c r="F65" s="75"/>
      <c r="G65" s="348"/>
      <c r="H65" s="348"/>
    </row>
    <row r="66" spans="1:8" ht="23.25">
      <c r="A66" s="395"/>
      <c r="B66" s="396"/>
      <c r="C66" s="397" t="s">
        <v>403</v>
      </c>
      <c r="D66" s="398"/>
      <c r="E66" s="353"/>
      <c r="F66" s="248">
        <v>348000</v>
      </c>
      <c r="G66" s="363">
        <f>SUM(F66-D66)</f>
        <v>348000</v>
      </c>
      <c r="H66" s="363"/>
    </row>
    <row r="67" spans="1:8" ht="23.25">
      <c r="A67" s="399"/>
      <c r="B67" s="284"/>
      <c r="C67" s="397" t="s">
        <v>404</v>
      </c>
      <c r="D67" s="394"/>
      <c r="E67" s="346"/>
      <c r="F67" s="75">
        <v>168000</v>
      </c>
      <c r="G67" s="363">
        <f>SUM(F67-D67)</f>
        <v>168000</v>
      </c>
      <c r="H67" s="348"/>
    </row>
    <row r="68" spans="1:8" ht="23.25">
      <c r="A68" s="399"/>
      <c r="B68" s="284"/>
      <c r="C68" s="397" t="s">
        <v>405</v>
      </c>
      <c r="D68" s="394"/>
      <c r="E68" s="346"/>
      <c r="F68" s="75">
        <v>100800</v>
      </c>
      <c r="G68" s="363">
        <f>SUM(F68-D68)</f>
        <v>100800</v>
      </c>
      <c r="H68" s="348"/>
    </row>
    <row r="69" spans="1:8" ht="23.25">
      <c r="A69" s="399"/>
      <c r="B69" s="284"/>
      <c r="C69" s="397" t="s">
        <v>406</v>
      </c>
      <c r="D69" s="394"/>
      <c r="E69" s="346"/>
      <c r="F69" s="75">
        <v>293956</v>
      </c>
      <c r="G69" s="363">
        <f>SUM(F69-D69)</f>
        <v>293956</v>
      </c>
      <c r="H69" s="348"/>
    </row>
    <row r="70" spans="1:8" ht="23.25">
      <c r="A70" s="399"/>
      <c r="B70" s="284"/>
      <c r="C70" s="397"/>
      <c r="D70" s="394"/>
      <c r="E70" s="346"/>
      <c r="F70" s="75"/>
      <c r="G70" s="363"/>
      <c r="H70" s="352"/>
    </row>
    <row r="71" spans="1:8" ht="23.25">
      <c r="A71" s="206"/>
      <c r="B71" s="207"/>
      <c r="C71" s="208" t="s">
        <v>4</v>
      </c>
      <c r="D71" s="322">
        <f>SUM(D65:D70)</f>
        <v>0</v>
      </c>
      <c r="E71" s="322">
        <f>SUM(E65:E70)</f>
        <v>0</v>
      </c>
      <c r="F71" s="322">
        <f>SUM(F65:F70)</f>
        <v>910756</v>
      </c>
      <c r="G71" s="279">
        <f>F71-D71</f>
        <v>910756</v>
      </c>
      <c r="H71" s="279"/>
    </row>
    <row r="72" spans="1:8" ht="23.25" hidden="1">
      <c r="A72" s="218" t="s">
        <v>234</v>
      </c>
      <c r="B72" s="219"/>
      <c r="C72" s="383"/>
      <c r="D72" s="400"/>
      <c r="E72" s="220"/>
      <c r="F72" s="270"/>
      <c r="G72" s="375"/>
      <c r="H72" s="340"/>
    </row>
    <row r="73" spans="1:8" ht="23.25" hidden="1">
      <c r="A73" s="218"/>
      <c r="B73" s="318" t="s">
        <v>364</v>
      </c>
      <c r="C73" s="383"/>
      <c r="D73" s="400"/>
      <c r="E73" s="220"/>
      <c r="F73" s="270"/>
      <c r="G73" s="375"/>
      <c r="H73" s="340"/>
    </row>
    <row r="74" spans="1:8" ht="23.25" hidden="1">
      <c r="A74" s="218"/>
      <c r="B74" s="318"/>
      <c r="C74" s="383"/>
      <c r="D74" s="400"/>
      <c r="E74" s="220"/>
      <c r="F74" s="270"/>
      <c r="G74" s="375"/>
      <c r="H74" s="340"/>
    </row>
    <row r="75" spans="1:8" ht="23.25" hidden="1">
      <c r="A75" s="282"/>
      <c r="B75" s="284"/>
      <c r="C75" s="385"/>
      <c r="D75" s="266"/>
      <c r="E75" s="283"/>
      <c r="F75" s="75"/>
      <c r="G75" s="347"/>
      <c r="H75" s="346"/>
    </row>
    <row r="76" spans="1:8" ht="23.25" hidden="1">
      <c r="A76" s="206"/>
      <c r="B76" s="207"/>
      <c r="C76" s="208" t="s">
        <v>4</v>
      </c>
      <c r="D76" s="322"/>
      <c r="E76" s="209"/>
      <c r="F76" s="322">
        <f>SUM(F75:F75)</f>
        <v>0</v>
      </c>
      <c r="G76" s="258">
        <f>F76-D76</f>
        <v>0</v>
      </c>
      <c r="H76" s="382"/>
    </row>
    <row r="77" spans="1:8" ht="23.25">
      <c r="A77" s="282"/>
      <c r="B77" s="210" t="s">
        <v>353</v>
      </c>
      <c r="C77" s="385"/>
      <c r="D77" s="266"/>
      <c r="E77" s="283"/>
      <c r="F77" s="75"/>
      <c r="G77" s="347"/>
      <c r="H77" s="346"/>
    </row>
    <row r="78" spans="1:8" ht="23.25">
      <c r="A78" s="282"/>
      <c r="B78" s="210"/>
      <c r="C78" s="385" t="s">
        <v>407</v>
      </c>
      <c r="D78" s="266"/>
      <c r="E78" s="283"/>
      <c r="F78" s="75">
        <v>146338.7</v>
      </c>
      <c r="G78" s="347">
        <f>SUM(F78-D78)</f>
        <v>146338.7</v>
      </c>
      <c r="H78" s="346"/>
    </row>
    <row r="79" spans="1:8" ht="23.25">
      <c r="A79" s="282"/>
      <c r="B79" s="210"/>
      <c r="C79" s="385" t="s">
        <v>408</v>
      </c>
      <c r="D79" s="266"/>
      <c r="E79" s="283"/>
      <c r="F79" s="75">
        <f>122345.79+1154.21</f>
        <v>123500</v>
      </c>
      <c r="G79" s="347">
        <f>SUM(F79-D79)</f>
        <v>123500</v>
      </c>
      <c r="H79" s="346"/>
    </row>
    <row r="80" spans="1:8" ht="23.25">
      <c r="A80" s="282"/>
      <c r="B80" s="210"/>
      <c r="C80" s="385"/>
      <c r="D80" s="266"/>
      <c r="E80" s="283"/>
      <c r="F80" s="75"/>
      <c r="G80" s="347"/>
      <c r="H80" s="346"/>
    </row>
    <row r="81" spans="1:8" ht="23.25">
      <c r="A81" s="206"/>
      <c r="B81" s="207"/>
      <c r="C81" s="208" t="s">
        <v>4</v>
      </c>
      <c r="D81" s="322">
        <f>SUM(D75:D80)</f>
        <v>0</v>
      </c>
      <c r="E81" s="209"/>
      <c r="F81" s="322">
        <f>SUM(F77:F80)</f>
        <v>269838.7</v>
      </c>
      <c r="G81" s="258">
        <f>F81-D81</f>
        <v>269838.7</v>
      </c>
      <c r="H81" s="382"/>
    </row>
    <row r="82" spans="1:8" ht="24" thickBot="1">
      <c r="A82" s="221"/>
      <c r="B82" s="222"/>
      <c r="C82" s="401" t="s">
        <v>129</v>
      </c>
      <c r="D82" s="257">
        <f>D12+D23+D30+D34+D40+D58+D63+D71+D81</f>
        <v>31982261</v>
      </c>
      <c r="E82" s="223"/>
      <c r="F82" s="257">
        <f>F12+F23+F30+F34+F40+F58+F63+F71+F81</f>
        <v>29757728.723</v>
      </c>
      <c r="G82" s="402">
        <f>F82-D82</f>
        <v>-2224532.276999999</v>
      </c>
      <c r="H82" s="223"/>
    </row>
    <row r="83" ht="24" thickTop="1"/>
    <row r="84" spans="7:8" ht="23.25">
      <c r="G84" t="s">
        <v>42</v>
      </c>
      <c r="H84" s="3"/>
    </row>
    <row r="85" spans="4:8" ht="23.25">
      <c r="D85" s="689" t="s">
        <v>409</v>
      </c>
      <c r="E85" s="689"/>
      <c r="F85" s="689"/>
      <c r="H85" s="3"/>
    </row>
    <row r="90" spans="1:9" s="403" customFormat="1" ht="23.25">
      <c r="A90" s="4"/>
      <c r="B90" s="4"/>
      <c r="C90" s="4"/>
      <c r="D90" s="12"/>
      <c r="E90" s="4"/>
      <c r="F90" s="12"/>
      <c r="G90"/>
      <c r="H90" s="4"/>
      <c r="I90" s="2"/>
    </row>
    <row r="91" spans="1:9" s="403" customFormat="1" ht="23.25">
      <c r="A91" s="4"/>
      <c r="B91" s="4"/>
      <c r="C91" s="4"/>
      <c r="D91" s="12"/>
      <c r="E91" s="4"/>
      <c r="F91" s="12"/>
      <c r="G91"/>
      <c r="H91" s="4"/>
      <c r="I91" s="2"/>
    </row>
    <row r="92" spans="1:9" s="403" customFormat="1" ht="23.25">
      <c r="A92" s="4"/>
      <c r="B92" s="4"/>
      <c r="C92" s="4"/>
      <c r="D92" s="12"/>
      <c r="E92" s="4"/>
      <c r="F92" s="12"/>
      <c r="G92"/>
      <c r="H92" s="4"/>
      <c r="I92" s="2"/>
    </row>
  </sheetData>
  <sheetProtection/>
  <mergeCells count="5">
    <mergeCell ref="D85:F85"/>
    <mergeCell ref="A4:C4"/>
    <mergeCell ref="A1:H1"/>
    <mergeCell ref="A2:H2"/>
    <mergeCell ref="A3:H3"/>
  </mergeCells>
  <printOptions/>
  <pageMargins left="0.49" right="0.27" top="0.41" bottom="0.29" header="0.34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oag</dc:creator>
  <cp:keywords/>
  <dc:description/>
  <cp:lastModifiedBy>yuyroi</cp:lastModifiedBy>
  <cp:lastPrinted>2013-02-18T04:20:32Z</cp:lastPrinted>
  <dcterms:created xsi:type="dcterms:W3CDTF">2004-12-02T09:13:53Z</dcterms:created>
  <dcterms:modified xsi:type="dcterms:W3CDTF">2013-02-17T05:27:17Z</dcterms:modified>
  <cp:category/>
  <cp:version/>
  <cp:contentType/>
  <cp:contentStatus/>
</cp:coreProperties>
</file>